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23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30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405"/>
  </bookViews>
  <sheets>
    <sheet name="Analyser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6"/>
  <c r="AN7"/>
  <c r="AN11"/>
  <c r="AN12"/>
  <c r="AN15"/>
  <c r="AN18"/>
  <c r="AN19"/>
  <c r="AN20"/>
  <c r="AN21"/>
  <c r="AN23"/>
  <c r="AN24"/>
  <c r="AN26"/>
  <c r="AN27"/>
  <c r="AN30"/>
  <c r="AN32"/>
  <c r="AN33"/>
  <c r="AF96"/>
  <c r="AE85"/>
  <c r="AE86"/>
  <c r="AE87"/>
  <c r="AE88"/>
  <c r="AE89"/>
  <c r="AE90"/>
  <c r="AE91"/>
  <c r="AE92"/>
  <c r="AE93"/>
  <c r="AE94"/>
  <c r="AE95"/>
  <c r="AE84"/>
  <c r="T40"/>
  <c r="N60"/>
  <c r="AC58" l="1"/>
  <c r="AC59" s="1"/>
  <c r="BC42" s="1"/>
  <c r="Y30"/>
  <c r="W54"/>
  <c r="W52"/>
  <c r="W57" l="1"/>
  <c r="AC60"/>
  <c r="AC61" s="1"/>
  <c r="AK101" s="1"/>
  <c r="AL101"/>
  <c r="T38"/>
  <c r="W24"/>
  <c r="W17"/>
  <c r="P66" l="1"/>
  <c r="N67" s="1"/>
  <c r="AB3"/>
  <c r="I67"/>
  <c r="J70" s="1"/>
  <c r="AL100" s="1"/>
  <c r="BC43" s="1"/>
  <c r="BE22"/>
  <c r="BC35"/>
  <c r="AJ34"/>
  <c r="BE21"/>
  <c r="BE4"/>
  <c r="BE5"/>
  <c r="BE6"/>
  <c r="BE7"/>
  <c r="BE8"/>
  <c r="BE9"/>
  <c r="BE10"/>
  <c r="BE13"/>
  <c r="BE14"/>
  <c r="BE17"/>
  <c r="BE18"/>
  <c r="BE19"/>
  <c r="BE20"/>
  <c r="BE3"/>
  <c r="AW50"/>
  <c r="AK100" l="1"/>
  <c r="AW44"/>
  <c r="K50"/>
  <c r="BD15" s="1"/>
  <c r="BD16" s="1"/>
  <c r="AW43"/>
  <c r="T42"/>
  <c r="AW42" s="1"/>
  <c r="AU41"/>
  <c r="AJ4"/>
  <c r="AV8"/>
  <c r="AV12"/>
  <c r="AV28"/>
  <c r="AV4"/>
  <c r="AV33"/>
  <c r="AV5"/>
  <c r="AV9"/>
  <c r="AV10"/>
  <c r="AV11"/>
  <c r="AV13"/>
  <c r="AV14"/>
  <c r="AV17"/>
  <c r="AV21"/>
  <c r="AV22"/>
  <c r="AV25"/>
  <c r="AV26"/>
  <c r="AV27"/>
  <c r="AV29"/>
  <c r="AV30"/>
  <c r="AV31"/>
  <c r="AM106"/>
  <c r="M45"/>
  <c r="M47" s="1"/>
  <c r="M42"/>
  <c r="M43" s="1"/>
  <c r="AZ93"/>
  <c r="AL99" s="1"/>
  <c r="C70" s="1"/>
  <c r="BC40" s="1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R26" s="1"/>
  <c r="AQ27"/>
  <c r="AQ28"/>
  <c r="AQ29"/>
  <c r="AQ30"/>
  <c r="AQ31"/>
  <c r="AQ32"/>
  <c r="AQ33"/>
  <c r="AQ4"/>
  <c r="AR4" s="1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R84"/>
  <c r="AS84" s="1"/>
  <c r="AT84" s="1"/>
  <c r="AU84" s="1"/>
  <c r="AR85"/>
  <c r="AS85" s="1"/>
  <c r="AT85" s="1"/>
  <c r="AU85" s="1"/>
  <c r="AR83"/>
  <c r="AS83" s="1"/>
  <c r="AT83" s="1"/>
  <c r="AU83" s="1"/>
  <c r="AR82"/>
  <c r="AS82" s="1"/>
  <c r="AT82" s="1"/>
  <c r="AU82" s="1"/>
  <c r="AR81"/>
  <c r="AS81" s="1"/>
  <c r="AT81" s="1"/>
  <c r="AU81" s="1"/>
  <c r="AR80"/>
  <c r="AS80" s="1"/>
  <c r="AT80" s="1"/>
  <c r="AU80" s="1"/>
  <c r="AR79"/>
  <c r="AS79" s="1"/>
  <c r="AT79" s="1"/>
  <c r="AU79" s="1"/>
  <c r="AR78"/>
  <c r="AS78" s="1"/>
  <c r="AT78" s="1"/>
  <c r="AU78" s="1"/>
  <c r="AR77"/>
  <c r="AS77" s="1"/>
  <c r="AT77" s="1"/>
  <c r="AU77" s="1"/>
  <c r="AR33" l="1"/>
  <c r="K52"/>
  <c r="R57" s="1"/>
  <c r="BD14" s="1"/>
  <c r="K53"/>
  <c r="R63" s="1"/>
  <c r="BD22" s="1"/>
  <c r="AW51"/>
  <c r="AW52" s="1"/>
  <c r="AR30"/>
  <c r="AR22"/>
  <c r="AR23"/>
  <c r="AR15"/>
  <c r="AR19"/>
  <c r="AW45"/>
  <c r="AR7"/>
  <c r="AR10"/>
  <c r="AR6"/>
  <c r="AR29"/>
  <c r="AR21"/>
  <c r="AR17"/>
  <c r="AR9"/>
  <c r="AR5"/>
  <c r="AR32"/>
  <c r="AR28"/>
  <c r="AR24"/>
  <c r="AR20"/>
  <c r="AR16"/>
  <c r="O42"/>
  <c r="M44" s="1"/>
  <c r="R54" s="1"/>
  <c r="N54" s="1"/>
  <c r="BD9" s="1"/>
  <c r="AR13"/>
  <c r="AR11"/>
  <c r="AR14"/>
  <c r="AR31"/>
  <c r="AR27"/>
  <c r="AR18"/>
  <c r="AR12"/>
  <c r="AR8"/>
  <c r="AR25"/>
  <c r="AK99"/>
  <c r="Q34"/>
  <c r="R33" s="1"/>
  <c r="F42"/>
  <c r="T39"/>
  <c r="Z35"/>
  <c r="N59" s="1"/>
  <c r="Z42"/>
  <c r="N57"/>
  <c r="N58"/>
  <c r="L15"/>
  <c r="N52"/>
  <c r="L33"/>
  <c r="L32"/>
  <c r="J32"/>
  <c r="L31"/>
  <c r="J31"/>
  <c r="L30"/>
  <c r="J30"/>
  <c r="L29"/>
  <c r="J29"/>
  <c r="L28"/>
  <c r="J28"/>
  <c r="L27"/>
  <c r="J27"/>
  <c r="L26"/>
  <c r="J26"/>
  <c r="L25"/>
  <c r="J25"/>
  <c r="L24"/>
  <c r="L23"/>
  <c r="J23"/>
  <c r="L22"/>
  <c r="J22"/>
  <c r="L21"/>
  <c r="J21"/>
  <c r="L20"/>
  <c r="J20"/>
  <c r="L19"/>
  <c r="J19"/>
  <c r="L18"/>
  <c r="J18"/>
  <c r="L17"/>
  <c r="J17"/>
  <c r="L16"/>
  <c r="J16"/>
  <c r="J15"/>
  <c r="L14"/>
  <c r="L13"/>
  <c r="Y12"/>
  <c r="L12"/>
  <c r="J12"/>
  <c r="Y11"/>
  <c r="L11"/>
  <c r="J11"/>
  <c r="L10"/>
  <c r="I10"/>
  <c r="L9"/>
  <c r="J9"/>
  <c r="Y8"/>
  <c r="L8"/>
  <c r="J8"/>
  <c r="Y7"/>
  <c r="L7"/>
  <c r="J7"/>
  <c r="L6"/>
  <c r="J6"/>
  <c r="L5"/>
  <c r="J5"/>
  <c r="L4"/>
  <c r="J4"/>
  <c r="N61" l="1"/>
  <c r="R49" s="1"/>
  <c r="R50" s="1"/>
  <c r="BD5" s="1"/>
  <c r="P65"/>
  <c r="N64"/>
  <c r="P67" s="1"/>
  <c r="AW53"/>
  <c r="Y6"/>
  <c r="Y10"/>
  <c r="Y13"/>
  <c r="Y15"/>
  <c r="Y19"/>
  <c r="Y23"/>
  <c r="Y26"/>
  <c r="Y33"/>
  <c r="AB33" s="1"/>
  <c r="N33" s="1"/>
  <c r="Y5"/>
  <c r="Y16"/>
  <c r="Y20"/>
  <c r="Y27"/>
  <c r="Y31"/>
  <c r="Y9"/>
  <c r="Y18"/>
  <c r="Y22"/>
  <c r="Y25"/>
  <c r="Y29"/>
  <c r="Y4"/>
  <c r="Y14"/>
  <c r="Y17"/>
  <c r="Y21"/>
  <c r="Y24"/>
  <c r="Y28"/>
  <c r="Y32"/>
  <c r="R15"/>
  <c r="R12"/>
  <c r="R29"/>
  <c r="R14"/>
  <c r="R24"/>
  <c r="R26"/>
  <c r="V33"/>
  <c r="T33"/>
  <c r="U33" s="1"/>
  <c r="S33"/>
  <c r="R4"/>
  <c r="R32"/>
  <c r="R7"/>
  <c r="AB7" s="1"/>
  <c r="N7" s="1"/>
  <c r="R9"/>
  <c r="R13"/>
  <c r="R21"/>
  <c r="R23"/>
  <c r="R27"/>
  <c r="R10"/>
  <c r="R16"/>
  <c r="R17"/>
  <c r="R25"/>
  <c r="R28"/>
  <c r="R30"/>
  <c r="R18"/>
  <c r="R20"/>
  <c r="R5"/>
  <c r="R8"/>
  <c r="R19"/>
  <c r="R6"/>
  <c r="R11"/>
  <c r="R22"/>
  <c r="R31"/>
  <c r="H47"/>
  <c r="AB30" l="1"/>
  <c r="N30" s="1"/>
  <c r="AB4"/>
  <c r="AB12"/>
  <c r="N12" s="1"/>
  <c r="H36"/>
  <c r="H37"/>
  <c r="T55"/>
  <c r="AB18"/>
  <c r="N18" s="1"/>
  <c r="AB20"/>
  <c r="N20" s="1"/>
  <c r="AB28"/>
  <c r="N28" s="1"/>
  <c r="AB13"/>
  <c r="N13" s="1"/>
  <c r="AB26"/>
  <c r="N26" s="1"/>
  <c r="AB22"/>
  <c r="N22" s="1"/>
  <c r="AB31"/>
  <c r="N31" s="1"/>
  <c r="AB23"/>
  <c r="N23" s="1"/>
  <c r="AB27"/>
  <c r="N27" s="1"/>
  <c r="AB15"/>
  <c r="N15" s="1"/>
  <c r="AB6"/>
  <c r="N6" s="1"/>
  <c r="AB25"/>
  <c r="N25" s="1"/>
  <c r="AB24"/>
  <c r="N24" s="1"/>
  <c r="AB21"/>
  <c r="N21" s="1"/>
  <c r="AB32"/>
  <c r="N32" s="1"/>
  <c r="AB29"/>
  <c r="N29" s="1"/>
  <c r="AB9"/>
  <c r="N9" s="1"/>
  <c r="AB11"/>
  <c r="N11" s="1"/>
  <c r="AB5"/>
  <c r="N5" s="1"/>
  <c r="AB10"/>
  <c r="N10" s="1"/>
  <c r="AB8"/>
  <c r="N8" s="1"/>
  <c r="AB16"/>
  <c r="N16" s="1"/>
  <c r="AB17"/>
  <c r="N17" s="1"/>
  <c r="AB14"/>
  <c r="N14" s="1"/>
  <c r="AB19"/>
  <c r="N19" s="1"/>
  <c r="N51"/>
  <c r="N62"/>
  <c r="AU16"/>
  <c r="AV16" s="1"/>
  <c r="AU32"/>
  <c r="AV32" s="1"/>
  <c r="AU6"/>
  <c r="AV6" s="1"/>
  <c r="T31"/>
  <c r="U31" s="1"/>
  <c r="AU18"/>
  <c r="AV18" s="1"/>
  <c r="AU23"/>
  <c r="AV23" s="1"/>
  <c r="AU19"/>
  <c r="AV19" s="1"/>
  <c r="AU7"/>
  <c r="AV7" s="1"/>
  <c r="AU24"/>
  <c r="AV24" s="1"/>
  <c r="AU20"/>
  <c r="AV20" s="1"/>
  <c r="AU15"/>
  <c r="AV15" s="1"/>
  <c r="AK33"/>
  <c r="AP33" s="1"/>
  <c r="AO33" s="1"/>
  <c r="O47"/>
  <c r="V18"/>
  <c r="T23"/>
  <c r="U23" s="1"/>
  <c r="V15"/>
  <c r="V27"/>
  <c r="V19"/>
  <c r="T17"/>
  <c r="U17" s="1"/>
  <c r="S7"/>
  <c r="S24"/>
  <c r="V6"/>
  <c r="S25"/>
  <c r="V9"/>
  <c r="V11"/>
  <c r="S28"/>
  <c r="S22"/>
  <c r="T30"/>
  <c r="U30" s="1"/>
  <c r="V5"/>
  <c r="V4"/>
  <c r="S29"/>
  <c r="S32"/>
  <c r="V14"/>
  <c r="V32"/>
  <c r="S23"/>
  <c r="T29"/>
  <c r="U29" s="1"/>
  <c r="S13"/>
  <c r="S21"/>
  <c r="V29"/>
  <c r="V8"/>
  <c r="V23"/>
  <c r="T25"/>
  <c r="U25" s="1"/>
  <c r="S8"/>
  <c r="V21"/>
  <c r="V12"/>
  <c r="S12"/>
  <c r="S30"/>
  <c r="AK30" s="1"/>
  <c r="AP30" s="1"/>
  <c r="AO30" s="1"/>
  <c r="T13"/>
  <c r="U13" s="1"/>
  <c r="V13"/>
  <c r="T12"/>
  <c r="U12" s="1"/>
  <c r="T22"/>
  <c r="U22" s="1"/>
  <c r="T15"/>
  <c r="U15" s="1"/>
  <c r="S15"/>
  <c r="S14"/>
  <c r="V24"/>
  <c r="S26"/>
  <c r="T26"/>
  <c r="U26" s="1"/>
  <c r="T14"/>
  <c r="U14" s="1"/>
  <c r="T24"/>
  <c r="U24" s="1"/>
  <c r="V26"/>
  <c r="T28"/>
  <c r="U28" s="1"/>
  <c r="V28"/>
  <c r="T7"/>
  <c r="U7" s="1"/>
  <c r="V25"/>
  <c r="S20"/>
  <c r="T10"/>
  <c r="U10" s="1"/>
  <c r="S10"/>
  <c r="S5"/>
  <c r="S16"/>
  <c r="T16"/>
  <c r="U16" s="1"/>
  <c r="T6"/>
  <c r="U6" s="1"/>
  <c r="S6"/>
  <c r="S17"/>
  <c r="V17"/>
  <c r="S9"/>
  <c r="T9"/>
  <c r="U9" s="1"/>
  <c r="S11"/>
  <c r="T11"/>
  <c r="U11" s="1"/>
  <c r="T32"/>
  <c r="U32" s="1"/>
  <c r="V10"/>
  <c r="T21"/>
  <c r="U21" s="1"/>
  <c r="V22"/>
  <c r="V7"/>
  <c r="T8"/>
  <c r="U8" s="1"/>
  <c r="V20"/>
  <c r="S31"/>
  <c r="V30"/>
  <c r="T5"/>
  <c r="U5" s="1"/>
  <c r="V16"/>
  <c r="V31"/>
  <c r="T19"/>
  <c r="U19" s="1"/>
  <c r="S19"/>
  <c r="S18"/>
  <c r="AS33" s="1"/>
  <c r="AT33" s="1"/>
  <c r="T18"/>
  <c r="U18" s="1"/>
  <c r="T27"/>
  <c r="U27" s="1"/>
  <c r="S27"/>
  <c r="S4"/>
  <c r="T4"/>
  <c r="U4" s="1"/>
  <c r="T20"/>
  <c r="U20" s="1"/>
  <c r="N53" l="1"/>
  <c r="R56" s="1"/>
  <c r="BD13" s="1"/>
  <c r="N4"/>
  <c r="Q35"/>
  <c r="AV34"/>
  <c r="BD4"/>
  <c r="Z50" s="1"/>
  <c r="AS5"/>
  <c r="AT5" s="1"/>
  <c r="AK5"/>
  <c r="AS14"/>
  <c r="AT14" s="1"/>
  <c r="AK14"/>
  <c r="AK27"/>
  <c r="AP27" s="1"/>
  <c r="AO27" s="1"/>
  <c r="AS27"/>
  <c r="AT27" s="1"/>
  <c r="AK26"/>
  <c r="AP26" s="1"/>
  <c r="AO26" s="1"/>
  <c r="AS26"/>
  <c r="AT26" s="1"/>
  <c r="AS13"/>
  <c r="AT13" s="1"/>
  <c r="AK13"/>
  <c r="AS32"/>
  <c r="AT32" s="1"/>
  <c r="AK32"/>
  <c r="AP32" s="1"/>
  <c r="AO32" s="1"/>
  <c r="AK17"/>
  <c r="AS17"/>
  <c r="AT17" s="1"/>
  <c r="AS22"/>
  <c r="AT22" s="1"/>
  <c r="AK22"/>
  <c r="AK19"/>
  <c r="AP19" s="1"/>
  <c r="AO19" s="1"/>
  <c r="AS19"/>
  <c r="AT19" s="1"/>
  <c r="AK20"/>
  <c r="AP20" s="1"/>
  <c r="AO20" s="1"/>
  <c r="AS20"/>
  <c r="AT20" s="1"/>
  <c r="AK12"/>
  <c r="AP12" s="1"/>
  <c r="AO12" s="1"/>
  <c r="AS12"/>
  <c r="AT12" s="1"/>
  <c r="AK21"/>
  <c r="AP21" s="1"/>
  <c r="AO21" s="1"/>
  <c r="AS21"/>
  <c r="AT21" s="1"/>
  <c r="AZ89"/>
  <c r="AL97" s="1"/>
  <c r="C69" s="1"/>
  <c r="BC39" s="1"/>
  <c r="AK97"/>
  <c r="AK18"/>
  <c r="AP18" s="1"/>
  <c r="AO18" s="1"/>
  <c r="AS18"/>
  <c r="AT18" s="1"/>
  <c r="AK11"/>
  <c r="AP11" s="1"/>
  <c r="AO11" s="1"/>
  <c r="AS11"/>
  <c r="AT11" s="1"/>
  <c r="AS15"/>
  <c r="AT15" s="1"/>
  <c r="AK15"/>
  <c r="AP15" s="1"/>
  <c r="AO15" s="1"/>
  <c r="AK8"/>
  <c r="AS8"/>
  <c r="AT8" s="1"/>
  <c r="AK4"/>
  <c r="AS4"/>
  <c r="AT4" s="1"/>
  <c r="AS31"/>
  <c r="AT31" s="1"/>
  <c r="AK31"/>
  <c r="AK9"/>
  <c r="AS9"/>
  <c r="AT9" s="1"/>
  <c r="AS6"/>
  <c r="AT6" s="1"/>
  <c r="AK6"/>
  <c r="AP6" s="1"/>
  <c r="AO6" s="1"/>
  <c r="AS30"/>
  <c r="AT30" s="1"/>
  <c r="AS29"/>
  <c r="AT29" s="1"/>
  <c r="AK29"/>
  <c r="AS7"/>
  <c r="AT7" s="1"/>
  <c r="AK7"/>
  <c r="AP7" s="1"/>
  <c r="AO7" s="1"/>
  <c r="AK16"/>
  <c r="AS16"/>
  <c r="AT16" s="1"/>
  <c r="AK25"/>
  <c r="AS25"/>
  <c r="AT25" s="1"/>
  <c r="AK10"/>
  <c r="AS10"/>
  <c r="AT10" s="1"/>
  <c r="AS23"/>
  <c r="AT23" s="1"/>
  <c r="AK23"/>
  <c r="AP23" s="1"/>
  <c r="AO23" s="1"/>
  <c r="AK28"/>
  <c r="AS28"/>
  <c r="AT28" s="1"/>
  <c r="AK24"/>
  <c r="AP24" s="1"/>
  <c r="AO24" s="1"/>
  <c r="AS24"/>
  <c r="AT24" s="1"/>
  <c r="U34"/>
  <c r="V34"/>
  <c r="T34"/>
  <c r="R51" s="1"/>
  <c r="AP31" l="1"/>
  <c r="AO31" s="1"/>
  <c r="AN31"/>
  <c r="AP29"/>
  <c r="AO29" s="1"/>
  <c r="AN29"/>
  <c r="AP8"/>
  <c r="AO8" s="1"/>
  <c r="AN8"/>
  <c r="AP17"/>
  <c r="AO17" s="1"/>
  <c r="AN17"/>
  <c r="AP28"/>
  <c r="AO28" s="1"/>
  <c r="AN28"/>
  <c r="AP22"/>
  <c r="AO22" s="1"/>
  <c r="AN22"/>
  <c r="AP14"/>
  <c r="AO14" s="1"/>
  <c r="AN14"/>
  <c r="AP25"/>
  <c r="AO25" s="1"/>
  <c r="AN25"/>
  <c r="AP13"/>
  <c r="AO13" s="1"/>
  <c r="AN13"/>
  <c r="AP5"/>
  <c r="AO5" s="1"/>
  <c r="AN5"/>
  <c r="AP10"/>
  <c r="AO10" s="1"/>
  <c r="AN10"/>
  <c r="AP16"/>
  <c r="AO16" s="1"/>
  <c r="AN16"/>
  <c r="AP9"/>
  <c r="AO9" s="1"/>
  <c r="AN9"/>
  <c r="AP4"/>
  <c r="AO4" s="1"/>
  <c r="AN4"/>
  <c r="AV35"/>
  <c r="AW38" s="1"/>
  <c r="AW41" s="1"/>
  <c r="AW55" s="1"/>
  <c r="AW56" s="1"/>
  <c r="AW57" s="1"/>
  <c r="BC41" s="1"/>
  <c r="AW36"/>
  <c r="AW37" s="1"/>
  <c r="AW40" s="1"/>
  <c r="W58"/>
  <c r="P37"/>
  <c r="R53" s="1"/>
  <c r="BD8" s="1"/>
  <c r="W61"/>
  <c r="R59"/>
  <c r="F47" s="1"/>
  <c r="H51" s="1"/>
  <c r="H52" s="1"/>
  <c r="BD6"/>
  <c r="BA83"/>
  <c r="AL98" s="1"/>
  <c r="V40"/>
  <c r="R48" s="1"/>
  <c r="BD3" s="1"/>
  <c r="R52"/>
  <c r="AP34" l="1"/>
  <c r="AL95" s="1"/>
  <c r="C67" s="1"/>
  <c r="BC37" s="1"/>
  <c r="R60"/>
  <c r="BD19" s="1"/>
  <c r="BD18"/>
  <c r="R58"/>
  <c r="BD7"/>
  <c r="AK98"/>
  <c r="C71"/>
  <c r="BC44" s="1"/>
  <c r="AK95" l="1"/>
  <c r="H58"/>
  <c r="J58" s="1"/>
  <c r="R61" s="1"/>
  <c r="BD20" s="1"/>
  <c r="H39"/>
  <c r="BD17"/>
  <c r="J59" l="1"/>
  <c r="R62" s="1"/>
  <c r="BD21" s="1"/>
  <c r="K39"/>
  <c r="W59" s="1"/>
  <c r="P64" l="1"/>
  <c r="P68" l="1"/>
  <c r="P69" s="1"/>
  <c r="P70" s="1"/>
  <c r="M39" l="1"/>
  <c r="M40" s="1"/>
  <c r="M41" s="1"/>
  <c r="X50"/>
  <c r="Z58" s="1"/>
  <c r="Y58" l="1"/>
  <c r="Y59" s="1"/>
  <c r="Z53"/>
  <c r="W60"/>
  <c r="Z52" s="1"/>
  <c r="R55"/>
  <c r="BD10" s="1"/>
  <c r="Y60" l="1"/>
  <c r="BD11" s="1"/>
  <c r="AA3"/>
  <c r="Z59"/>
  <c r="AA10" l="1"/>
  <c r="AA8"/>
  <c r="AA15"/>
  <c r="AA13"/>
  <c r="AA22"/>
  <c r="AA17"/>
  <c r="AA27"/>
  <c r="AA25"/>
  <c r="AA21"/>
  <c r="AA16"/>
  <c r="AA11"/>
  <c r="AA26"/>
  <c r="AA4"/>
  <c r="AA12"/>
  <c r="AA5"/>
  <c r="AA29"/>
  <c r="AA14"/>
  <c r="AA9"/>
  <c r="AA32"/>
  <c r="AA28"/>
  <c r="AA24"/>
  <c r="AA19"/>
  <c r="AA23"/>
  <c r="AA20"/>
  <c r="AA31"/>
  <c r="AA6"/>
  <c r="AA33"/>
  <c r="AA18"/>
  <c r="AA30"/>
  <c r="AA7"/>
  <c r="AC3"/>
  <c r="Z60"/>
  <c r="BD12" s="1"/>
  <c r="AC10" l="1"/>
  <c r="AD10" s="1"/>
  <c r="AE10" s="1"/>
  <c r="AF10" s="1"/>
  <c r="AG10" s="1"/>
  <c r="AC8"/>
  <c r="AD8" s="1"/>
  <c r="AE8" s="1"/>
  <c r="AF8" s="1"/>
  <c r="AH8" s="1"/>
  <c r="AC15"/>
  <c r="AD15" s="1"/>
  <c r="AE15" s="1"/>
  <c r="AC13"/>
  <c r="AD13" s="1"/>
  <c r="AE13" s="1"/>
  <c r="AF13" s="1"/>
  <c r="AC22"/>
  <c r="AD22" s="1"/>
  <c r="AE22" s="1"/>
  <c r="AF22" s="1"/>
  <c r="AG22" s="1"/>
  <c r="AC17"/>
  <c r="AD17" s="1"/>
  <c r="AE17" s="1"/>
  <c r="AF17" s="1"/>
  <c r="AH17" s="1"/>
  <c r="AC27"/>
  <c r="AD27" s="1"/>
  <c r="AE27" s="1"/>
  <c r="AF27" s="1"/>
  <c r="AH27" s="1"/>
  <c r="AC25"/>
  <c r="AD25" s="1"/>
  <c r="AE25" s="1"/>
  <c r="AF25" s="1"/>
  <c r="AC21"/>
  <c r="AD21" s="1"/>
  <c r="AE21" s="1"/>
  <c r="AF21" s="1"/>
  <c r="AH21" s="1"/>
  <c r="AC16"/>
  <c r="AD16" s="1"/>
  <c r="AE16" s="1"/>
  <c r="AF16" s="1"/>
  <c r="AC11"/>
  <c r="AD11" s="1"/>
  <c r="AE11" s="1"/>
  <c r="AF11" s="1"/>
  <c r="AH11" s="1"/>
  <c r="AC26"/>
  <c r="AD26" s="1"/>
  <c r="AE26" s="1"/>
  <c r="AF26" s="1"/>
  <c r="AH26" s="1"/>
  <c r="AC4"/>
  <c r="AD4" s="1"/>
  <c r="AC12"/>
  <c r="AD12" s="1"/>
  <c r="AE12" s="1"/>
  <c r="AF12" s="1"/>
  <c r="AH12" s="1"/>
  <c r="AC5"/>
  <c r="AD5" s="1"/>
  <c r="AE5" s="1"/>
  <c r="AF5" s="1"/>
  <c r="AH5" s="1"/>
  <c r="AC29"/>
  <c r="AD29" s="1"/>
  <c r="AE29" s="1"/>
  <c r="AF29" s="1"/>
  <c r="AH29" s="1"/>
  <c r="AC14"/>
  <c r="AD14" s="1"/>
  <c r="AE14" s="1"/>
  <c r="AF14" s="1"/>
  <c r="AH14" s="1"/>
  <c r="AC9"/>
  <c r="AD9" s="1"/>
  <c r="AE9" s="1"/>
  <c r="AF9" s="1"/>
  <c r="AC32"/>
  <c r="AD32" s="1"/>
  <c r="AE32" s="1"/>
  <c r="AC28"/>
  <c r="AD28" s="1"/>
  <c r="AE28" s="1"/>
  <c r="AF28" s="1"/>
  <c r="AH28" s="1"/>
  <c r="AC24"/>
  <c r="AD24" s="1"/>
  <c r="AE24" s="1"/>
  <c r="AF24" s="1"/>
  <c r="AH24" s="1"/>
  <c r="AC19"/>
  <c r="AD19" s="1"/>
  <c r="AE19" s="1"/>
  <c r="AC23"/>
  <c r="AD23" s="1"/>
  <c r="AE23" s="1"/>
  <c r="AF23" s="1"/>
  <c r="AH23" s="1"/>
  <c r="AC20"/>
  <c r="AD20" s="1"/>
  <c r="AE20" s="1"/>
  <c r="AF20" s="1"/>
  <c r="AH20" s="1"/>
  <c r="AC31"/>
  <c r="AD31" s="1"/>
  <c r="AE31" s="1"/>
  <c r="AC6"/>
  <c r="AD6" s="1"/>
  <c r="AE6" s="1"/>
  <c r="AC33"/>
  <c r="AD33" s="1"/>
  <c r="AE33" s="1"/>
  <c r="AC18"/>
  <c r="AD18" s="1"/>
  <c r="AE18" s="1"/>
  <c r="AC30"/>
  <c r="AC7"/>
  <c r="AD7" s="1"/>
  <c r="AE7" s="1"/>
  <c r="AH10" l="1"/>
  <c r="AG8"/>
  <c r="AG13"/>
  <c r="AH13"/>
  <c r="AF15"/>
  <c r="AH15" s="1"/>
  <c r="AG17"/>
  <c r="AH22"/>
  <c r="AG25"/>
  <c r="AH25"/>
  <c r="AG27"/>
  <c r="AH16"/>
  <c r="AG16"/>
  <c r="AG14"/>
  <c r="AG9"/>
  <c r="AH9"/>
  <c r="AF32"/>
  <c r="AH32" s="1"/>
  <c r="AG24"/>
  <c r="AF31"/>
  <c r="AG31" s="1"/>
  <c r="AF33"/>
  <c r="AH33" s="1"/>
  <c r="AD30"/>
  <c r="AE30" s="1"/>
  <c r="AF30" s="1"/>
  <c r="AH30" s="1"/>
  <c r="AG26"/>
  <c r="AF7"/>
  <c r="AH7" s="1"/>
  <c r="AG20"/>
  <c r="AK85" s="1"/>
  <c r="AJ85" s="1"/>
  <c r="AG12"/>
  <c r="AG23"/>
  <c r="AK78" s="1"/>
  <c r="AJ78" s="1"/>
  <c r="AG28"/>
  <c r="AG5"/>
  <c r="AG21"/>
  <c r="AF6"/>
  <c r="AH6" s="1"/>
  <c r="AG29"/>
  <c r="AG11"/>
  <c r="AF19"/>
  <c r="AH19" s="1"/>
  <c r="AF18"/>
  <c r="AH18" s="1"/>
  <c r="AE4"/>
  <c r="AF4" s="1"/>
  <c r="AH4" s="1"/>
  <c r="AG15" l="1"/>
  <c r="AK77" s="1"/>
  <c r="AJ77" s="1"/>
  <c r="AG32"/>
  <c r="AK79" s="1"/>
  <c r="AJ79" s="1"/>
  <c r="AH31"/>
  <c r="AG33"/>
  <c r="AG30"/>
  <c r="AK84" s="1"/>
  <c r="AJ84" s="1"/>
  <c r="AG6"/>
  <c r="AK82" s="1"/>
  <c r="AJ82" s="1"/>
  <c r="AG7"/>
  <c r="AK80" s="1"/>
  <c r="AJ80" s="1"/>
  <c r="AG19"/>
  <c r="AK83" s="1"/>
  <c r="AJ83" s="1"/>
  <c r="AG4"/>
  <c r="AG18"/>
  <c r="AK81" s="1"/>
  <c r="AJ81" s="1"/>
  <c r="AJ87" l="1"/>
  <c r="AR89" s="1"/>
  <c r="AL96" s="1"/>
  <c r="C68" s="1"/>
  <c r="BC38" s="1"/>
  <c r="AK96" l="1"/>
  <c r="AK102" s="1"/>
  <c r="C65" s="1"/>
  <c r="BD35" s="1"/>
</calcChain>
</file>

<file path=xl/sharedStrings.xml><?xml version="1.0" encoding="utf-8"?>
<sst xmlns="http://schemas.openxmlformats.org/spreadsheetml/2006/main" count="488" uniqueCount="342">
  <si>
    <t>g</t>
  </si>
  <si>
    <t>m/s^2</t>
  </si>
  <si>
    <t>Gravity</t>
  </si>
  <si>
    <t>Ammonia</t>
  </si>
  <si>
    <t>Argon</t>
  </si>
  <si>
    <t>Ar</t>
  </si>
  <si>
    <t>Butane</t>
  </si>
  <si>
    <t>CO</t>
  </si>
  <si>
    <t>Ethane</t>
  </si>
  <si>
    <t>Ethylene</t>
  </si>
  <si>
    <t>Helium</t>
  </si>
  <si>
    <t>He</t>
  </si>
  <si>
    <t>Hydrogen</t>
  </si>
  <si>
    <t>Hydrogen Chloride</t>
  </si>
  <si>
    <t>HCl</t>
  </si>
  <si>
    <t>Krypton</t>
  </si>
  <si>
    <t>Methane</t>
  </si>
  <si>
    <t>Methyl Chloride</t>
  </si>
  <si>
    <t>Neon</t>
  </si>
  <si>
    <t>NO</t>
  </si>
  <si>
    <t>Nitrogen</t>
  </si>
  <si>
    <t>Oxygen</t>
  </si>
  <si>
    <t>Pentane</t>
  </si>
  <si>
    <t>Propane</t>
  </si>
  <si>
    <t>Xenon</t>
  </si>
  <si>
    <t>Km</t>
  </si>
  <si>
    <t>K</t>
  </si>
  <si>
    <t>C</t>
  </si>
  <si>
    <t>Partial Pressure</t>
  </si>
  <si>
    <t>atm</t>
  </si>
  <si>
    <t>N2</t>
  </si>
  <si>
    <t>CO2</t>
  </si>
  <si>
    <t>Water</t>
  </si>
  <si>
    <t>SB const</t>
  </si>
  <si>
    <t>Insolation</t>
  </si>
  <si>
    <t>Density</t>
  </si>
  <si>
    <t>Molar Mass</t>
  </si>
  <si>
    <t>Gas Constant</t>
  </si>
  <si>
    <t>Spec heat Cp</t>
  </si>
  <si>
    <t>Spec heat Cv</t>
  </si>
  <si>
    <t>Spec heat ratio</t>
  </si>
  <si>
    <t>Viscosity</t>
  </si>
  <si>
    <t>Mol/kg</t>
  </si>
  <si>
    <t>Boling point 1 atm (K)</t>
  </si>
  <si>
    <t>Heat evap (kj mol^-1)</t>
  </si>
  <si>
    <t>Parts pr. total</t>
  </si>
  <si>
    <t>Air Mass</t>
  </si>
  <si>
    <t xml:space="preserve"> S G constant</t>
  </si>
  <si>
    <t>Y (spec heat ratio)</t>
  </si>
  <si>
    <t>Boiling point</t>
  </si>
  <si>
    <t>Gas</t>
  </si>
  <si>
    <t>Symbol</t>
  </si>
  <si>
    <r>
      <t>[kg/m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</si>
  <si>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t>[g/mol]</t>
  </si>
  <si>
    <t>[J/kg*K]</t>
  </si>
  <si>
    <t>[-]</t>
  </si>
  <si>
    <r>
      <t>[Pa*s] - 0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C and 1 bar</t>
    </r>
  </si>
  <si>
    <t>%</t>
  </si>
  <si>
    <t>Kpa</t>
  </si>
  <si>
    <t>Acethylene</t>
  </si>
  <si>
    <t>C2H2</t>
  </si>
  <si>
    <t>NH3</t>
  </si>
  <si>
    <t>Nitrogen Oxide</t>
  </si>
  <si>
    <t>C4H10</t>
  </si>
  <si>
    <t>i-Butane</t>
  </si>
  <si>
    <t>C2H6</t>
  </si>
  <si>
    <t>C2H4</t>
  </si>
  <si>
    <t>Ethyl Ether</t>
  </si>
  <si>
    <t>-</t>
  </si>
  <si>
    <t>Ethyl Chloride</t>
  </si>
  <si>
    <t>C2H5Cl</t>
  </si>
  <si>
    <t>Chlor</t>
  </si>
  <si>
    <t>Cl2</t>
  </si>
  <si>
    <t>O2</t>
  </si>
  <si>
    <t>Kr</t>
  </si>
  <si>
    <t>Xe</t>
  </si>
  <si>
    <t>CH4</t>
  </si>
  <si>
    <t>CH3Cl</t>
  </si>
  <si>
    <t>Ne</t>
  </si>
  <si>
    <t>Ozone</t>
  </si>
  <si>
    <t>O3</t>
  </si>
  <si>
    <t>C5H12</t>
  </si>
  <si>
    <t>C3H8</t>
  </si>
  <si>
    <t>Propene</t>
  </si>
  <si>
    <t>C3H6</t>
  </si>
  <si>
    <t>Sulphur Dioxide</t>
  </si>
  <si>
    <t>SO2</t>
  </si>
  <si>
    <t>Sulphur Hydrogen</t>
  </si>
  <si>
    <t>H2S</t>
  </si>
  <si>
    <t>Carbon Dioxide</t>
  </si>
  <si>
    <t>Carbon Monoxide</t>
  </si>
  <si>
    <t>H2</t>
  </si>
  <si>
    <t>H2O</t>
  </si>
  <si>
    <t>total</t>
  </si>
  <si>
    <t xml:space="preserve">MSL Pressure </t>
  </si>
  <si>
    <t>(Pascal)</t>
  </si>
  <si>
    <t>Speed Sound</t>
  </si>
  <si>
    <t>Atm</t>
  </si>
  <si>
    <t xml:space="preserve">MSL Temperature </t>
  </si>
  <si>
    <t>Universal Gas Constant</t>
  </si>
  <si>
    <t>Earth Mass</t>
  </si>
  <si>
    <t>Earth atmos mass</t>
  </si>
  <si>
    <t>(kelvin)</t>
  </si>
  <si>
    <t>Celcius</t>
  </si>
  <si>
    <t>Gravity Acc.</t>
  </si>
  <si>
    <t>radius planet</t>
  </si>
  <si>
    <t>m/s</t>
  </si>
  <si>
    <t>Planet Diameter</t>
  </si>
  <si>
    <t>r plan + H atm</t>
  </si>
  <si>
    <t>Volume of planet</t>
  </si>
  <si>
    <t>km</t>
  </si>
  <si>
    <t>Speed of Sound</t>
  </si>
  <si>
    <t>[m/s]</t>
  </si>
  <si>
    <t>Avarage Athmosphere Molar Mass</t>
  </si>
  <si>
    <t>Volume pl + atm</t>
  </si>
  <si>
    <t>Dry air gas constant</t>
  </si>
  <si>
    <t>Local atmosphere Gas Constant</t>
  </si>
  <si>
    <t>diff (= vol H atmos)</t>
  </si>
  <si>
    <t>m^3</t>
  </si>
  <si>
    <t>Air Density at sea level (reference level)</t>
  </si>
  <si>
    <t>atmosphere weight</t>
  </si>
  <si>
    <t>kg</t>
  </si>
  <si>
    <t>eart mass</t>
  </si>
  <si>
    <t>[kg/m^3]</t>
  </si>
  <si>
    <t>Scale Height</t>
  </si>
  <si>
    <t>Earth atmosphere masses</t>
  </si>
  <si>
    <t>[km]</t>
  </si>
  <si>
    <t>Atmosphere Height (0.0001% p)</t>
  </si>
  <si>
    <t>Atmosphere Weight</t>
  </si>
  <si>
    <t>[M (earth)]</t>
  </si>
  <si>
    <t>Atmosphere weight relative to Earth atm weight</t>
  </si>
  <si>
    <t>[M(eam)]</t>
  </si>
  <si>
    <t>Heat conduct</t>
  </si>
  <si>
    <t>Heat cond counts</t>
  </si>
  <si>
    <t>Parts gas parts</t>
  </si>
  <si>
    <t>Avarage heat conduction dry</t>
  </si>
  <si>
    <t>[W/(m K)]</t>
  </si>
  <si>
    <t>Effective temperature</t>
  </si>
  <si>
    <t>Bond Albedo</t>
  </si>
  <si>
    <t>/1</t>
  </si>
  <si>
    <t>[W/m^2]</t>
  </si>
  <si>
    <t>Local  Dry Atmosphere Heat Conductivity</t>
  </si>
  <si>
    <t>[K]</t>
  </si>
  <si>
    <t>max diff</t>
  </si>
  <si>
    <t>max temp</t>
  </si>
  <si>
    <t>min temp</t>
  </si>
  <si>
    <t>AU pr km</t>
  </si>
  <si>
    <t>AU</t>
  </si>
  <si>
    <t>Star temperature</t>
  </si>
  <si>
    <t>Star radius</t>
  </si>
  <si>
    <t>m</t>
  </si>
  <si>
    <t>Star distance</t>
  </si>
  <si>
    <t>Planet albedo</t>
  </si>
  <si>
    <t>Equilibrium temp</t>
  </si>
  <si>
    <t>Main Star Distance</t>
  </si>
  <si>
    <t>Main Star Temperature</t>
  </si>
  <si>
    <t>Main Star Diameter</t>
  </si>
  <si>
    <t>Effective Temperature (equilibrium)</t>
  </si>
  <si>
    <t>Greenhouse Effect and Geoheating</t>
  </si>
  <si>
    <t>Avarage spec heat (pressure)</t>
  </si>
  <si>
    <t>Thermal inertia (I)</t>
  </si>
  <si>
    <t>Heat conduction avg</t>
  </si>
  <si>
    <t>I^-1</t>
  </si>
  <si>
    <t>Day/night variation</t>
  </si>
  <si>
    <t>+/-</t>
  </si>
  <si>
    <t>Limited by effective temp</t>
  </si>
  <si>
    <t>Halucinative gases</t>
  </si>
  <si>
    <t>if &lt; then no effect</t>
  </si>
  <si>
    <t>if &lt; then notable effect</t>
  </si>
  <si>
    <t>if &gt; confusion</t>
  </si>
  <si>
    <t>if&lt; dangerous if &gt; death</t>
  </si>
  <si>
    <t>No effect</t>
  </si>
  <si>
    <t>verdict</t>
  </si>
  <si>
    <t>Ppres</t>
  </si>
  <si>
    <t>Toxity</t>
  </si>
  <si>
    <t>Toxicity</t>
  </si>
  <si>
    <t>Not toxic</t>
  </si>
  <si>
    <t>Well drowning risk at surface</t>
  </si>
  <si>
    <t>weight</t>
  </si>
  <si>
    <t>hevier than oxygen?</t>
  </si>
  <si>
    <t>more abundant than oxygen</t>
  </si>
  <si>
    <t>well risk</t>
  </si>
  <si>
    <t>C4H10O</t>
  </si>
  <si>
    <t>toxic air</t>
  </si>
  <si>
    <t>maximum</t>
  </si>
  <si>
    <t>unhealthy</t>
  </si>
  <si>
    <t>very unhealthy</t>
  </si>
  <si>
    <t>dangerous</t>
  </si>
  <si>
    <t>deadly</t>
  </si>
  <si>
    <t>are dangourous</t>
  </si>
  <si>
    <t>are deadly</t>
  </si>
  <si>
    <t>cause confusion</t>
  </si>
  <si>
    <t>have a notable effect</t>
  </si>
  <si>
    <t>Oxygen enough?</t>
  </si>
  <si>
    <t>habitable</t>
  </si>
  <si>
    <t>Perfect match</t>
  </si>
  <si>
    <t>Atmospheric proporties</t>
  </si>
  <si>
    <t>Habitability at sealevel</t>
  </si>
  <si>
    <t>Temperature ok?</t>
  </si>
  <si>
    <t>av light day</t>
  </si>
  <si>
    <t xml:space="preserve">Average day/night temperature variation </t>
  </si>
  <si>
    <t>stellar day lengt</t>
  </si>
  <si>
    <t>Solar day lenght</t>
  </si>
  <si>
    <t>days</t>
  </si>
  <si>
    <t>day (earth solar days)</t>
  </si>
  <si>
    <t>Rotational Period</t>
  </si>
  <si>
    <t>Orbital Period</t>
  </si>
  <si>
    <t>sidereal factor</t>
  </si>
  <si>
    <t>H</t>
  </si>
  <si>
    <t>S</t>
  </si>
  <si>
    <t>Axial tilt</t>
  </si>
  <si>
    <t>degrees</t>
  </si>
  <si>
    <t>season factor</t>
  </si>
  <si>
    <t>tilt in radians</t>
  </si>
  <si>
    <t>solar factor cycle</t>
  </si>
  <si>
    <t>limited by 3degrees K</t>
  </si>
  <si>
    <t>daylight factor</t>
  </si>
  <si>
    <t>Is rotation retrograde? (then -1)</t>
  </si>
  <si>
    <t>Lenght of solar day</t>
  </si>
  <si>
    <t>[Earth solar days)</t>
  </si>
  <si>
    <t>Planet mass</t>
  </si>
  <si>
    <t>Earth mass</t>
  </si>
  <si>
    <t>Factor</t>
  </si>
  <si>
    <t>Gravitational constant G</t>
  </si>
  <si>
    <t>Planet Mass</t>
  </si>
  <si>
    <t>[Mass Earth)</t>
  </si>
  <si>
    <t>Boltzman constant</t>
  </si>
  <si>
    <t>Is over 1% of atmosphere</t>
  </si>
  <si>
    <t>ligtest gas over 1% atmospehere</t>
  </si>
  <si>
    <t>Atmoar radius</t>
  </si>
  <si>
    <t>x</t>
  </si>
  <si>
    <t>atomar radius is</t>
  </si>
  <si>
    <t>Cross section is</t>
  </si>
  <si>
    <t>Exosphere temperature</t>
  </si>
  <si>
    <t>Nx</t>
  </si>
  <si>
    <t>atoms/m^2</t>
  </si>
  <si>
    <t>Speed at exo temperature</t>
  </si>
  <si>
    <t>Molar mass is</t>
  </si>
  <si>
    <t>Gravity ground level</t>
  </si>
  <si>
    <t>boltzman</t>
  </si>
  <si>
    <t>Gravity at exobase</t>
  </si>
  <si>
    <t>Exobase height</t>
  </si>
  <si>
    <t>test gravity</t>
  </si>
  <si>
    <t>gravitional constant</t>
  </si>
  <si>
    <t>exobase escape velocity</t>
  </si>
  <si>
    <t>Exobase radius</t>
  </si>
  <si>
    <t>planet radius</t>
  </si>
  <si>
    <t>Expected Attributes</t>
  </si>
  <si>
    <t>kg/mol</t>
  </si>
  <si>
    <t>molar gas constant</t>
  </si>
  <si>
    <t>exotemp</t>
  </si>
  <si>
    <t>escape velocity</t>
  </si>
  <si>
    <t>Escape Velocity</t>
  </si>
  <si>
    <t>escape vel</t>
  </si>
  <si>
    <t>Ratio gas/escape velocity</t>
  </si>
  <si>
    <t>is atmosphere escaping?</t>
  </si>
  <si>
    <t>solution</t>
  </si>
  <si>
    <t>Atmospehere is likely to be escaping</t>
  </si>
  <si>
    <t>Atmospehere is likely to be thermokinetic unstable</t>
  </si>
  <si>
    <t>Atmosphere is likely to be thermokinetic stable</t>
  </si>
  <si>
    <t>Atmosphere Composition</t>
  </si>
  <si>
    <t>Measurements</t>
  </si>
  <si>
    <t>Celsius</t>
  </si>
  <si>
    <t>Average Atmosphere Molar Mass</t>
  </si>
  <si>
    <t>Length of solar day</t>
  </si>
  <si>
    <t>Planet Density</t>
  </si>
  <si>
    <t>Relative Density</t>
  </si>
  <si>
    <t>(Earth Density)</t>
  </si>
  <si>
    <t>Is water present in atmosphere</t>
  </si>
  <si>
    <t>No water in atmosphere suggest missing water circut</t>
  </si>
  <si>
    <t>Result</t>
  </si>
  <si>
    <t>Human Habitability Assesment (at sealevel)</t>
  </si>
  <si>
    <t>triple temp</t>
  </si>
  <si>
    <t>triple pres</t>
  </si>
  <si>
    <t>kelvin</t>
  </si>
  <si>
    <t>Seasonal temp change calculator</t>
  </si>
  <si>
    <t>Season factor</t>
  </si>
  <si>
    <t>Eccentricity factor</t>
  </si>
  <si>
    <t>Orbit Eccentricity</t>
  </si>
  <si>
    <t>day night diff</t>
  </si>
  <si>
    <t>season variations factor</t>
  </si>
  <si>
    <t>season variatio</t>
  </si>
  <si>
    <t>polar variation</t>
  </si>
  <si>
    <t>mean temp</t>
  </si>
  <si>
    <t>min teoret temp</t>
  </si>
  <si>
    <t>is sublimating at pressure?</t>
  </si>
  <si>
    <t>State</t>
  </si>
  <si>
    <t>phase changing?</t>
  </si>
  <si>
    <t>mean temperature</t>
  </si>
  <si>
    <t>very low</t>
  </si>
  <si>
    <t>low</t>
  </si>
  <si>
    <t>comfortable</t>
  </si>
  <si>
    <t>limiting</t>
  </si>
  <si>
    <t>very limiting</t>
  </si>
  <si>
    <t>causing faints</t>
  </si>
  <si>
    <t>deadly without pressure suite</t>
  </si>
  <si>
    <t>perfect match?</t>
  </si>
  <si>
    <t>Nighttime temp loss</t>
  </si>
  <si>
    <t>b (mean temp)</t>
  </si>
  <si>
    <t>alpha (inertia)</t>
  </si>
  <si>
    <t>Factor (find)</t>
  </si>
  <si>
    <t>temp (time)</t>
  </si>
  <si>
    <t>x (haalf day)</t>
  </si>
  <si>
    <t>Loss</t>
  </si>
  <si>
    <t>daylenght</t>
  </si>
  <si>
    <t>universal factor</t>
  </si>
  <si>
    <t>min temp( halv mean)</t>
  </si>
  <si>
    <t>limited by max loss</t>
  </si>
  <si>
    <t>polar variation factor</t>
  </si>
  <si>
    <t>polar min</t>
  </si>
  <si>
    <t>equator max</t>
  </si>
  <si>
    <t>solar day length</t>
  </si>
  <si>
    <t>[C)</t>
  </si>
  <si>
    <t>Mean Low Temperature (winter/night/poles)</t>
  </si>
  <si>
    <t>gas</t>
  </si>
  <si>
    <t>vapor</t>
  </si>
  <si>
    <t>sblim</t>
  </si>
  <si>
    <t>solid</t>
  </si>
  <si>
    <t>mean</t>
  </si>
  <si>
    <t>high</t>
  </si>
  <si>
    <t>Dust particles</t>
  </si>
  <si>
    <t>descibtion</t>
  </si>
  <si>
    <t>category</t>
  </si>
  <si>
    <t>Occationally melting and evaporating particles</t>
  </si>
  <si>
    <t>Occationally freezing gas</t>
  </si>
  <si>
    <t>Occationally evaporating and cloudshaping liquid</t>
  </si>
  <si>
    <t>Occationally condensing gas</t>
  </si>
  <si>
    <t>Occationally depositioning gas</t>
  </si>
  <si>
    <t>code</t>
  </si>
  <si>
    <t>Occationally sublimating particles</t>
  </si>
  <si>
    <t>none</t>
  </si>
  <si>
    <t>0</t>
  </si>
  <si>
    <t>Cloudshaping liquid with rain</t>
  </si>
  <si>
    <t>Cloudshaping liquid with rain or snow</t>
  </si>
  <si>
    <t>toxic partial pressure (ATM)</t>
  </si>
  <si>
    <t>Caution/deadly</t>
  </si>
  <si>
    <t>0.001</t>
  </si>
  <si>
    <t>0.005</t>
  </si>
  <si>
    <t>toxic</t>
  </si>
  <si>
    <t>find correct values</t>
  </si>
  <si>
    <t>Occationally melting and cloudshaping particles</t>
  </si>
  <si>
    <t>Mean High Temperature (summer/day/equator)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</si>
</sst>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00"/>
    <numFmt numFmtId="165" formatCode="0.0000000000000000"/>
    <numFmt numFmtId="166" formatCode="0.0000000"/>
    <numFmt numFmtId="167" formatCode="0.00000%"/>
    <numFmt numFmtId="168" formatCode="0.0000"/>
    <numFmt numFmtId="169" formatCode="_ * #,##0_ ;_ * \-#,##0_ ;_ * &quot;-&quot;??_ ;_ @_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3" borderId="9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2" xfId="0" applyFont="1" applyBorder="1"/>
    <xf numFmtId="0" fontId="2" fillId="0" borderId="0" xfId="1" applyBorder="1" applyAlignment="1">
      <alignment wrapText="1"/>
    </xf>
    <xf numFmtId="0" fontId="0" fillId="0" borderId="0" xfId="0" applyBorder="1" applyAlignment="1">
      <alignment horizontal="right" wrapText="1"/>
    </xf>
    <xf numFmtId="168" fontId="0" fillId="0" borderId="7" xfId="0" applyNumberFormat="1" applyBorder="1"/>
    <xf numFmtId="0" fontId="0" fillId="3" borderId="10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164" fontId="0" fillId="0" borderId="0" xfId="0" applyNumberFormat="1" applyBorder="1" applyAlignment="1" applyProtection="1">
      <alignment wrapText="1"/>
      <protection locked="0"/>
    </xf>
    <xf numFmtId="165" fontId="0" fillId="0" borderId="0" xfId="0" applyNumberForma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NumberFormat="1" applyFill="1" applyBorder="1" applyAlignment="1" applyProtection="1">
      <alignment horizontal="right" wrapText="1"/>
      <protection locked="0"/>
    </xf>
    <xf numFmtId="0" fontId="0" fillId="0" borderId="0" xfId="0" quotePrefix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166" fontId="5" fillId="0" borderId="0" xfId="0" applyNumberFormat="1" applyFont="1" applyBorder="1" applyProtection="1">
      <protection locked="0"/>
    </xf>
    <xf numFmtId="11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166" fontId="5" fillId="0" borderId="2" xfId="0" applyNumberFormat="1" applyFont="1" applyBorder="1" applyProtection="1">
      <protection locked="0"/>
    </xf>
    <xf numFmtId="167" fontId="0" fillId="0" borderId="0" xfId="2" applyNumberFormat="1" applyFont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Protection="1"/>
    <xf numFmtId="168" fontId="1" fillId="0" borderId="0" xfId="0" applyNumberFormat="1" applyFont="1" applyBorder="1" applyProtection="1"/>
    <xf numFmtId="0" fontId="1" fillId="0" borderId="5" xfId="0" applyFont="1" applyBorder="1" applyProtection="1"/>
    <xf numFmtId="10" fontId="0" fillId="0" borderId="0" xfId="0" applyNumberFormat="1" applyBorder="1" applyProtection="1"/>
    <xf numFmtId="2" fontId="0" fillId="0" borderId="0" xfId="0" applyNumberFormat="1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5" xfId="0" applyFill="1" applyBorder="1" applyProtection="1"/>
    <xf numFmtId="168" fontId="0" fillId="0" borderId="2" xfId="0" applyNumberFormat="1" applyFill="1" applyBorder="1" applyProtection="1"/>
    <xf numFmtId="0" fontId="0" fillId="0" borderId="2" xfId="0" applyFill="1" applyBorder="1" applyProtection="1"/>
    <xf numFmtId="0" fontId="1" fillId="0" borderId="2" xfId="0" applyFont="1" applyBorder="1" applyProtection="1"/>
    <xf numFmtId="168" fontId="0" fillId="0" borderId="0" xfId="0" applyNumberFormat="1" applyFill="1" applyBorder="1" applyProtection="1"/>
    <xf numFmtId="0" fontId="0" fillId="0" borderId="0" xfId="0" applyFill="1" applyBorder="1" applyProtection="1"/>
    <xf numFmtId="168" fontId="0" fillId="0" borderId="0" xfId="0" applyNumberFormat="1" applyBorder="1" applyProtection="1"/>
    <xf numFmtId="168" fontId="0" fillId="0" borderId="0" xfId="0" applyNumberFormat="1" applyBorder="1" applyAlignment="1" applyProtection="1">
      <alignment horizontal="right"/>
    </xf>
    <xf numFmtId="168" fontId="0" fillId="0" borderId="0" xfId="0" applyNumberFormat="1" applyFont="1" applyBorder="1" applyProtection="1"/>
    <xf numFmtId="164" fontId="0" fillId="0" borderId="0" xfId="0" applyNumberFormat="1" applyFont="1" applyBorder="1" applyProtection="1"/>
    <xf numFmtId="0" fontId="0" fillId="0" borderId="0" xfId="0" applyFont="1" applyBorder="1" applyProtection="1"/>
    <xf numFmtId="11" fontId="0" fillId="0" borderId="0" xfId="0" applyNumberForma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4" xfId="0" applyFont="1" applyFill="1" applyBorder="1" applyAlignment="1" applyProtection="1">
      <alignment wrapText="1"/>
    </xf>
    <xf numFmtId="0" fontId="0" fillId="0" borderId="4" xfId="0" applyFill="1" applyBorder="1" applyAlignment="1" applyProtection="1">
      <alignment wrapText="1"/>
    </xf>
    <xf numFmtId="0" fontId="0" fillId="0" borderId="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1" fillId="0" borderId="4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11" fontId="5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/>
    <xf numFmtId="0" fontId="0" fillId="0" borderId="0" xfId="0" applyFont="1" applyFill="1" applyBorder="1" applyAlignment="1" applyProtection="1">
      <alignment wrapText="1"/>
    </xf>
    <xf numFmtId="168" fontId="0" fillId="0" borderId="0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0" borderId="7" xfId="0" applyBorder="1" applyProtection="1">
      <protection locked="0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0" fillId="0" borderId="0" xfId="0" applyBorder="1" applyAlignment="1">
      <alignment horizontal="left"/>
    </xf>
    <xf numFmtId="0" fontId="0" fillId="0" borderId="6" xfId="0" applyFont="1" applyFill="1" applyBorder="1" applyAlignment="1" applyProtection="1">
      <alignment wrapText="1"/>
    </xf>
    <xf numFmtId="0" fontId="0" fillId="0" borderId="7" xfId="0" applyFont="1" applyBorder="1" applyProtection="1"/>
    <xf numFmtId="164" fontId="0" fillId="0" borderId="7" xfId="0" applyNumberFormat="1" applyBorder="1" applyProtection="1"/>
    <xf numFmtId="166" fontId="5" fillId="0" borderId="7" xfId="0" applyNumberFormat="1" applyFont="1" applyBorder="1" applyProtection="1">
      <protection locked="0"/>
    </xf>
    <xf numFmtId="0" fontId="0" fillId="0" borderId="7" xfId="0" applyNumberFormat="1" applyBorder="1" applyProtection="1">
      <protection locked="0"/>
    </xf>
    <xf numFmtId="0" fontId="0" fillId="0" borderId="7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5" xfId="0" applyFont="1" applyBorder="1" applyAlignment="1" applyProtection="1">
      <alignment horizontal="left"/>
    </xf>
    <xf numFmtId="0" fontId="0" fillId="0" borderId="5" xfId="0" applyFont="1" applyFill="1" applyBorder="1" applyAlignment="1" applyProtection="1">
      <alignment wrapText="1"/>
    </xf>
    <xf numFmtId="0" fontId="0" fillId="0" borderId="5" xfId="0" applyFont="1" applyBorder="1" applyProtection="1"/>
    <xf numFmtId="0" fontId="0" fillId="0" borderId="0" xfId="0" applyBorder="1" applyAlignment="1">
      <alignment horizontal="right"/>
    </xf>
    <xf numFmtId="11" fontId="0" fillId="0" borderId="0" xfId="0" applyNumberFormat="1" applyBorder="1"/>
    <xf numFmtId="0" fontId="2" fillId="0" borderId="0" xfId="1" applyBorder="1" applyAlignment="1" applyProtection="1">
      <alignment wrapText="1"/>
    </xf>
    <xf numFmtId="0" fontId="0" fillId="0" borderId="0" xfId="0" applyBorder="1" applyAlignment="1" applyProtection="1">
      <alignment horizontal="left" wrapText="1" indent="2"/>
    </xf>
    <xf numFmtId="0" fontId="0" fillId="2" borderId="0" xfId="0" applyFill="1" applyBorder="1"/>
    <xf numFmtId="169" fontId="0" fillId="0" borderId="0" xfId="3" applyNumberFormat="1" applyFont="1" applyBorder="1" applyProtection="1">
      <protection locked="0"/>
    </xf>
    <xf numFmtId="0" fontId="0" fillId="0" borderId="0" xfId="0" applyBorder="1" applyAlignment="1" applyProtection="1">
      <alignment horizontal="left" wrapText="1" indent="1"/>
    </xf>
    <xf numFmtId="0" fontId="0" fillId="0" borderId="7" xfId="0" applyBorder="1" applyAlignment="1">
      <alignment horizontal="left"/>
    </xf>
    <xf numFmtId="11" fontId="0" fillId="0" borderId="0" xfId="0" applyNumberFormat="1" applyFont="1" applyBorder="1" applyAlignment="1" applyProtection="1"/>
    <xf numFmtId="0" fontId="6" fillId="0" borderId="4" xfId="0" applyFont="1" applyBorder="1" applyAlignment="1">
      <alignment horizontal="right"/>
    </xf>
    <xf numFmtId="0" fontId="6" fillId="0" borderId="12" xfId="0" applyFont="1" applyBorder="1"/>
    <xf numFmtId="2" fontId="0" fillId="0" borderId="0" xfId="0" applyNumberFormat="1"/>
    <xf numFmtId="0" fontId="0" fillId="0" borderId="0" xfId="0" applyFill="1" applyBorder="1"/>
    <xf numFmtId="0" fontId="0" fillId="2" borderId="4" xfId="0" applyFill="1" applyBorder="1"/>
    <xf numFmtId="0" fontId="0" fillId="0" borderId="4" xfId="0" applyBorder="1" applyAlignment="1" applyProtection="1"/>
    <xf numFmtId="0" fontId="0" fillId="0" borderId="4" xfId="0" applyFill="1" applyBorder="1" applyAlignment="1" applyProtection="1">
      <alignment horizontal="left"/>
    </xf>
    <xf numFmtId="168" fontId="0" fillId="0" borderId="0" xfId="0" applyNumberFormat="1" applyFont="1" applyFill="1" applyBorder="1" applyAlignment="1" applyProtection="1"/>
    <xf numFmtId="0" fontId="0" fillId="0" borderId="4" xfId="0" applyFont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NumberFormat="1" applyFill="1" applyBorder="1" applyProtection="1"/>
    <xf numFmtId="0" fontId="0" fillId="0" borderId="0" xfId="0" applyNumberFormat="1" applyBorder="1" applyProtection="1"/>
    <xf numFmtId="0" fontId="0" fillId="0" borderId="4" xfId="0" applyBorder="1" applyProtection="1"/>
    <xf numFmtId="0" fontId="0" fillId="0" borderId="6" xfId="0" applyBorder="1" applyProtection="1"/>
    <xf numFmtId="168" fontId="0" fillId="0" borderId="2" xfId="0" applyNumberFormat="1" applyBorder="1" applyAlignment="1" applyProtection="1">
      <alignment horizontal="left" wrapText="1" indent="2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168" fontId="0" fillId="0" borderId="2" xfId="0" applyNumberFormat="1" applyBorder="1" applyProtection="1"/>
    <xf numFmtId="0" fontId="1" fillId="0" borderId="1" xfId="0" applyFont="1" applyBorder="1" applyAlignment="1" applyProtection="1">
      <alignment horizontal="left" wrapText="1"/>
    </xf>
    <xf numFmtId="0" fontId="0" fillId="0" borderId="2" xfId="0" applyFont="1" applyBorder="1" applyProtection="1"/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168" fontId="0" fillId="0" borderId="3" xfId="0" applyNumberFormat="1" applyBorder="1"/>
    <xf numFmtId="0" fontId="0" fillId="0" borderId="4" xfId="0" applyBorder="1" applyAlignment="1">
      <alignment horizontal="right"/>
    </xf>
    <xf numFmtId="0" fontId="0" fillId="0" borderId="5" xfId="0" applyNumberFormat="1" applyBorder="1"/>
    <xf numFmtId="0" fontId="0" fillId="0" borderId="4" xfId="0" applyBorder="1" applyProtection="1">
      <protection locked="0"/>
    </xf>
    <xf numFmtId="168" fontId="0" fillId="0" borderId="5" xfId="0" applyNumberFormat="1" applyBorder="1"/>
    <xf numFmtId="0" fontId="0" fillId="0" borderId="0" xfId="0" applyFill="1"/>
    <xf numFmtId="0" fontId="0" fillId="0" borderId="4" xfId="0" applyFont="1" applyBorder="1" applyAlignment="1" applyProtection="1">
      <alignment horizontal="left"/>
    </xf>
    <xf numFmtId="168" fontId="0" fillId="0" borderId="0" xfId="0" applyNumberFormat="1" applyBorder="1" applyAlignment="1">
      <alignment horizontal="right"/>
    </xf>
    <xf numFmtId="168" fontId="0" fillId="0" borderId="0" xfId="0" applyNumberFormat="1" applyBorder="1"/>
    <xf numFmtId="0" fontId="1" fillId="0" borderId="9" xfId="0" applyFont="1" applyBorder="1"/>
    <xf numFmtId="0" fontId="0" fillId="0" borderId="9" xfId="0" applyBorder="1"/>
    <xf numFmtId="2" fontId="0" fillId="0" borderId="9" xfId="0" applyNumberFormat="1" applyBorder="1"/>
    <xf numFmtId="0" fontId="2" fillId="0" borderId="9" xfId="1" applyBorder="1" applyAlignment="1">
      <alignment wrapText="1"/>
    </xf>
    <xf numFmtId="0" fontId="0" fillId="0" borderId="9" xfId="0" applyBorder="1" applyAlignment="1">
      <alignment horizontal="right" wrapText="1"/>
    </xf>
    <xf numFmtId="0" fontId="0" fillId="2" borderId="9" xfId="0" applyFill="1" applyBorder="1"/>
    <xf numFmtId="0" fontId="0" fillId="4" borderId="9" xfId="0" applyFill="1" applyBorder="1"/>
    <xf numFmtId="0" fontId="0" fillId="4" borderId="9" xfId="0" quotePrefix="1" applyFill="1" applyBorder="1"/>
    <xf numFmtId="0" fontId="0" fillId="4" borderId="0" xfId="0" applyFill="1" applyBorder="1"/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4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</cellXfs>
  <cellStyles count="4">
    <cellStyle name="1000-sep (2 dec)" xfId="3" builtinId="3"/>
    <cellStyle name="Hyper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Q4" horiz="1" max="10000" page="10" val="0"/>
</file>

<file path=xl/ctrlProps/ctrlProp10.xml><?xml version="1.0" encoding="utf-8"?>
<formControlPr xmlns="http://schemas.microsoft.com/office/spreadsheetml/2009/9/main" objectType="Scroll" dx="16" fmlaLink="Q13" horiz="1" max="10000" page="10" val="0"/>
</file>

<file path=xl/ctrlProps/ctrlProp11.xml><?xml version="1.0" encoding="utf-8"?>
<formControlPr xmlns="http://schemas.microsoft.com/office/spreadsheetml/2009/9/main" objectType="Scroll" dx="16" fmlaLink="Q14" horiz="1" max="10000" page="10" val="0"/>
</file>

<file path=xl/ctrlProps/ctrlProp12.xml><?xml version="1.0" encoding="utf-8"?>
<formControlPr xmlns="http://schemas.microsoft.com/office/spreadsheetml/2009/9/main" objectType="Scroll" dx="16" fmlaLink="Q15" horiz="1" max="10000" page="10" val="0"/>
</file>

<file path=xl/ctrlProps/ctrlProp13.xml><?xml version="1.0" encoding="utf-8"?>
<formControlPr xmlns="http://schemas.microsoft.com/office/spreadsheetml/2009/9/main" objectType="Scroll" dx="16" fmlaLink="Q16" horiz="1" max="10000" page="10" val="0"/>
</file>

<file path=xl/ctrlProps/ctrlProp14.xml><?xml version="1.0" encoding="utf-8"?>
<formControlPr xmlns="http://schemas.microsoft.com/office/spreadsheetml/2009/9/main" objectType="Scroll" dx="16" fmlaLink="Q17" horiz="1" max="10000" page="10" val="0"/>
</file>

<file path=xl/ctrlProps/ctrlProp15.xml><?xml version="1.0" encoding="utf-8"?>
<formControlPr xmlns="http://schemas.microsoft.com/office/spreadsheetml/2009/9/main" objectType="Scroll" dx="16" fmlaLink="Q18" horiz="1" max="10000" page="10" val="0"/>
</file>

<file path=xl/ctrlProps/ctrlProp16.xml><?xml version="1.0" encoding="utf-8"?>
<formControlPr xmlns="http://schemas.microsoft.com/office/spreadsheetml/2009/9/main" objectType="Scroll" dx="16" fmlaLink="Q19" horiz="1" max="10000" page="10" val="0"/>
</file>

<file path=xl/ctrlProps/ctrlProp17.xml><?xml version="1.0" encoding="utf-8"?>
<formControlPr xmlns="http://schemas.microsoft.com/office/spreadsheetml/2009/9/main" objectType="Scroll" dx="16" fmlaLink="Q20" horiz="1" max="10000" page="10" val="0"/>
</file>

<file path=xl/ctrlProps/ctrlProp18.xml><?xml version="1.0" encoding="utf-8"?>
<formControlPr xmlns="http://schemas.microsoft.com/office/spreadsheetml/2009/9/main" objectType="Scroll" dx="16" fmlaLink="Q21" horiz="1" max="10000" page="10" val="480"/>
</file>

<file path=xl/ctrlProps/ctrlProp19.xml><?xml version="1.0" encoding="utf-8"?>
<formControlPr xmlns="http://schemas.microsoft.com/office/spreadsheetml/2009/9/main" objectType="Scroll" dx="16" fmlaLink="Q22" horiz="1" max="10000" page="10" val="0"/>
</file>

<file path=xl/ctrlProps/ctrlProp2.xml><?xml version="1.0" encoding="utf-8"?>
<formControlPr xmlns="http://schemas.microsoft.com/office/spreadsheetml/2009/9/main" objectType="Scroll" dx="16" fmlaLink="Q5" horiz="1" max="10000" page="10" val="0"/>
</file>

<file path=xl/ctrlProps/ctrlProp20.xml><?xml version="1.0" encoding="utf-8"?>
<formControlPr xmlns="http://schemas.microsoft.com/office/spreadsheetml/2009/9/main" objectType="Scroll" dx="16" fmlaLink="Q23" horiz="1" max="10000" page="10" val="0"/>
</file>

<file path=xl/ctrlProps/ctrlProp21.xml><?xml version="1.0" encoding="utf-8"?>
<formControlPr xmlns="http://schemas.microsoft.com/office/spreadsheetml/2009/9/main" objectType="Scroll" dx="16" fmlaLink="Q24" horiz="1" max="10000" page="10" val="0"/>
</file>

<file path=xl/ctrlProps/ctrlProp22.xml><?xml version="1.0" encoding="utf-8"?>
<formControlPr xmlns="http://schemas.microsoft.com/office/spreadsheetml/2009/9/main" objectType="Scroll" dx="16" fmlaLink="Q25" horiz="1" max="10000" page="10" val="0"/>
</file>

<file path=xl/ctrlProps/ctrlProp23.xml><?xml version="1.0" encoding="utf-8"?>
<formControlPr xmlns="http://schemas.microsoft.com/office/spreadsheetml/2009/9/main" objectType="Scroll" dx="16" fmlaLink="Q26" horiz="1" max="10000" page="10" val="0"/>
</file>

<file path=xl/ctrlProps/ctrlProp24.xml><?xml version="1.0" encoding="utf-8"?>
<formControlPr xmlns="http://schemas.microsoft.com/office/spreadsheetml/2009/9/main" objectType="Scroll" dx="16" fmlaLink="Q27" horiz="1" max="10000" page="10" val="0"/>
</file>

<file path=xl/ctrlProps/ctrlProp25.xml><?xml version="1.0" encoding="utf-8"?>
<formControlPr xmlns="http://schemas.microsoft.com/office/spreadsheetml/2009/9/main" objectType="Scroll" dx="16" fmlaLink="Q28" horiz="1" max="10000" page="10" val="0"/>
</file>

<file path=xl/ctrlProps/ctrlProp26.xml><?xml version="1.0" encoding="utf-8"?>
<formControlPr xmlns="http://schemas.microsoft.com/office/spreadsheetml/2009/9/main" objectType="Scroll" dx="16" fmlaLink="Q29" horiz="1" max="10000" page="10" val="0"/>
</file>

<file path=xl/ctrlProps/ctrlProp27.xml><?xml version="1.0" encoding="utf-8"?>
<formControlPr xmlns="http://schemas.microsoft.com/office/spreadsheetml/2009/9/main" objectType="Scroll" dx="16" fmlaLink="Q30" horiz="1" max="10000" page="10" val="0"/>
</file>

<file path=xl/ctrlProps/ctrlProp28.xml><?xml version="1.0" encoding="utf-8"?>
<formControlPr xmlns="http://schemas.microsoft.com/office/spreadsheetml/2009/9/main" objectType="Scroll" dx="16" fmlaLink="Q31" horiz="1" max="10000" page="10" val="0"/>
</file>

<file path=xl/ctrlProps/ctrlProp29.xml><?xml version="1.0" encoding="utf-8"?>
<formControlPr xmlns="http://schemas.microsoft.com/office/spreadsheetml/2009/9/main" objectType="Scroll" dx="16" fmlaLink="Q32" horiz="1" max="10000" page="10" val="2"/>
</file>

<file path=xl/ctrlProps/ctrlProp3.xml><?xml version="1.0" encoding="utf-8"?>
<formControlPr xmlns="http://schemas.microsoft.com/office/spreadsheetml/2009/9/main" objectType="Scroll" dx="16" fmlaLink="Q6" horiz="1" max="10000" page="10" val="0"/>
</file>

<file path=xl/ctrlProps/ctrlProp30.xml><?xml version="1.0" encoding="utf-8"?>
<formControlPr xmlns="http://schemas.microsoft.com/office/spreadsheetml/2009/9/main" objectType="Scroll" dx="16" fmlaLink="Q33" horiz="1" max="10000" page="10" val="0"/>
</file>

<file path=xl/ctrlProps/ctrlProp4.xml><?xml version="1.0" encoding="utf-8"?>
<formControlPr xmlns="http://schemas.microsoft.com/office/spreadsheetml/2009/9/main" objectType="Scroll" dx="16" fmlaLink="Q7" horiz="1" max="10000" page="10" val="10000"/>
</file>

<file path=xl/ctrlProps/ctrlProp5.xml><?xml version="1.0" encoding="utf-8"?>
<formControlPr xmlns="http://schemas.microsoft.com/office/spreadsheetml/2009/9/main" objectType="Scroll" dx="16" fmlaLink="Q8" horiz="1" max="10000" page="10" val="0"/>
</file>

<file path=xl/ctrlProps/ctrlProp6.xml><?xml version="1.0" encoding="utf-8"?>
<formControlPr xmlns="http://schemas.microsoft.com/office/spreadsheetml/2009/9/main" objectType="Scroll" dx="16" fmlaLink="Q9" horiz="1" max="10000" page="10" val="0"/>
</file>

<file path=xl/ctrlProps/ctrlProp7.xml><?xml version="1.0" encoding="utf-8"?>
<formControlPr xmlns="http://schemas.microsoft.com/office/spreadsheetml/2009/9/main" objectType="Scroll" dx="16" fmlaLink="Q10" horiz="1" max="10000" page="10" val="0"/>
</file>

<file path=xl/ctrlProps/ctrlProp8.xml><?xml version="1.0" encoding="utf-8"?>
<formControlPr xmlns="http://schemas.microsoft.com/office/spreadsheetml/2009/9/main" objectType="Scroll" dx="16" fmlaLink="Q11" horiz="1" max="10000" page="10" val="0"/>
</file>

<file path=xl/ctrlProps/ctrlProp9.xml><?xml version="1.0" encoding="utf-8"?>
<formControlPr xmlns="http://schemas.microsoft.com/office/spreadsheetml/2009/9/main" objectType="Scroll" dx="16" fmlaLink="Q12" horiz="1" max="10000" page="10" val="0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Neon" TargetMode="Externa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26" Type="http://schemas.openxmlformats.org/officeDocument/2006/relationships/ctrlProp" Target="../ctrlProps/ctrlProp14.xml"/><Relationship Id="rId39" Type="http://schemas.openxmlformats.org/officeDocument/2006/relationships/ctrlProp" Target="../ctrlProps/ctrlProp27.xml"/><Relationship Id="rId3" Type="http://schemas.openxmlformats.org/officeDocument/2006/relationships/hyperlink" Target="https://en.wikipedia.org/wiki/Krypton" TargetMode="External"/><Relationship Id="rId21" Type="http://schemas.openxmlformats.org/officeDocument/2006/relationships/ctrlProp" Target="../ctrlProps/ctrlProp9.xml"/><Relationship Id="rId34" Type="http://schemas.openxmlformats.org/officeDocument/2006/relationships/ctrlProp" Target="../ctrlProps/ctrlProp22.xml"/><Relationship Id="rId42" Type="http://schemas.openxmlformats.org/officeDocument/2006/relationships/ctrlProp" Target="../ctrlProps/ctrlProp30.xml"/><Relationship Id="rId7" Type="http://schemas.openxmlformats.org/officeDocument/2006/relationships/hyperlink" Target="https://en.wikipedia.org/wiki/Hydrogen" TargetMode="External"/><Relationship Id="rId17" Type="http://schemas.openxmlformats.org/officeDocument/2006/relationships/ctrlProp" Target="../ctrlProps/ctrlProp5.xml"/><Relationship Id="rId25" Type="http://schemas.openxmlformats.org/officeDocument/2006/relationships/ctrlProp" Target="../ctrlProps/ctrlProp13.xml"/><Relationship Id="rId33" Type="http://schemas.openxmlformats.org/officeDocument/2006/relationships/ctrlProp" Target="../ctrlProps/ctrlProp21.xml"/><Relationship Id="rId38" Type="http://schemas.openxmlformats.org/officeDocument/2006/relationships/ctrlProp" Target="../ctrlProps/ctrlProp26.xml"/><Relationship Id="rId2" Type="http://schemas.openxmlformats.org/officeDocument/2006/relationships/hyperlink" Target="https://en.wikipedia.org/wiki/Carbon_dioxide" TargetMode="External"/><Relationship Id="rId16" Type="http://schemas.openxmlformats.org/officeDocument/2006/relationships/ctrlProp" Target="../ctrlProps/ctrlProp4.xml"/><Relationship Id="rId20" Type="http://schemas.openxmlformats.org/officeDocument/2006/relationships/ctrlProp" Target="../ctrlProps/ctrlProp8.xml"/><Relationship Id="rId29" Type="http://schemas.openxmlformats.org/officeDocument/2006/relationships/ctrlProp" Target="../ctrlProps/ctrlProp17.xml"/><Relationship Id="rId41" Type="http://schemas.openxmlformats.org/officeDocument/2006/relationships/ctrlProp" Target="../ctrlProps/ctrlProp29.xml"/><Relationship Id="rId1" Type="http://schemas.openxmlformats.org/officeDocument/2006/relationships/hyperlink" Target="https://en.wikipedia.org/wiki/Xenon" TargetMode="External"/><Relationship Id="rId6" Type="http://schemas.openxmlformats.org/officeDocument/2006/relationships/hyperlink" Target="https://en.wikipedia.org/wiki/Nitrogen" TargetMode="External"/><Relationship Id="rId11" Type="http://schemas.openxmlformats.org/officeDocument/2006/relationships/vmlDrawing" Target="../drawings/vmlDrawing1.vml"/><Relationship Id="rId24" Type="http://schemas.openxmlformats.org/officeDocument/2006/relationships/ctrlProp" Target="../ctrlProps/ctrlProp12.xml"/><Relationship Id="rId32" Type="http://schemas.openxmlformats.org/officeDocument/2006/relationships/ctrlProp" Target="../ctrlProps/ctrlProp20.xml"/><Relationship Id="rId37" Type="http://schemas.openxmlformats.org/officeDocument/2006/relationships/ctrlProp" Target="../ctrlProps/ctrlProp25.xml"/><Relationship Id="rId40" Type="http://schemas.openxmlformats.org/officeDocument/2006/relationships/ctrlProp" Target="../ctrlProps/ctrlProp28.xml"/><Relationship Id="rId5" Type="http://schemas.openxmlformats.org/officeDocument/2006/relationships/hyperlink" Target="https://en.wikipedia.org/wiki/Oxygen" TargetMode="External"/><Relationship Id="rId15" Type="http://schemas.openxmlformats.org/officeDocument/2006/relationships/ctrlProp" Target="../ctrlProps/ctrlProp3.xml"/><Relationship Id="rId23" Type="http://schemas.openxmlformats.org/officeDocument/2006/relationships/ctrlProp" Target="../ctrlProps/ctrlProp11.xml"/><Relationship Id="rId28" Type="http://schemas.openxmlformats.org/officeDocument/2006/relationships/ctrlProp" Target="../ctrlProps/ctrlProp16.xml"/><Relationship Id="rId36" Type="http://schemas.openxmlformats.org/officeDocument/2006/relationships/ctrlProp" Target="../ctrlProps/ctrlProp24.xml"/><Relationship Id="rId10" Type="http://schemas.openxmlformats.org/officeDocument/2006/relationships/printerSettings" Target="../printerSettings/printerSettings1.bin"/><Relationship Id="rId19" Type="http://schemas.openxmlformats.org/officeDocument/2006/relationships/ctrlProp" Target="../ctrlProps/ctrlProp7.xml"/><Relationship Id="rId31" Type="http://schemas.openxmlformats.org/officeDocument/2006/relationships/ctrlProp" Target="../ctrlProps/ctrlProp19.xml"/><Relationship Id="rId4" Type="http://schemas.openxmlformats.org/officeDocument/2006/relationships/hyperlink" Target="https://en.wikipedia.org/wiki/Argon" TargetMode="External"/><Relationship Id="rId9" Type="http://schemas.openxmlformats.org/officeDocument/2006/relationships/hyperlink" Target="https://en.wikipedia.org/wiki/Helium" TargetMode="External"/><Relationship Id="rId14" Type="http://schemas.openxmlformats.org/officeDocument/2006/relationships/ctrlProp" Target="../ctrlProps/ctrlProp2.xml"/><Relationship Id="rId22" Type="http://schemas.openxmlformats.org/officeDocument/2006/relationships/ctrlProp" Target="../ctrlProps/ctrlProp10.xml"/><Relationship Id="rId27" Type="http://schemas.openxmlformats.org/officeDocument/2006/relationships/ctrlProp" Target="../ctrlProps/ctrlProp15.xml"/><Relationship Id="rId30" Type="http://schemas.openxmlformats.org/officeDocument/2006/relationships/ctrlProp" Target="../ctrlProps/ctrlProp18.xml"/><Relationship Id="rId35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09"/>
  <sheetViews>
    <sheetView tabSelected="1" zoomScale="70" zoomScaleNormal="70" workbookViewId="0">
      <selection activeCell="AH113" sqref="AH113"/>
    </sheetView>
  </sheetViews>
  <sheetFormatPr defaultRowHeight="15"/>
  <cols>
    <col min="1" max="1" width="2.85546875" customWidth="1"/>
    <col min="2" max="2" width="19.7109375" style="11" customWidth="1"/>
    <col min="3" max="3" width="11.42578125" customWidth="1"/>
    <col min="4" max="4" width="16.85546875" customWidth="1"/>
    <col min="5" max="5" width="12.7109375" hidden="1" customWidth="1"/>
    <col min="6" max="6" width="11.85546875" hidden="1" customWidth="1"/>
    <col min="7" max="7" width="21.42578125" hidden="1" customWidth="1"/>
    <col min="8" max="8" width="22.42578125" hidden="1" customWidth="1"/>
    <col min="9" max="9" width="17.85546875" hidden="1" customWidth="1"/>
    <col min="10" max="10" width="15.140625" hidden="1" customWidth="1"/>
    <col min="11" max="11" width="24.7109375" hidden="1" customWidth="1"/>
    <col min="12" max="12" width="25.7109375" hidden="1" customWidth="1"/>
    <col min="13" max="16" width="24.7109375" hidden="1" customWidth="1"/>
    <col min="17" max="17" width="12.85546875" hidden="1" customWidth="1"/>
    <col min="18" max="18" width="13.28515625" customWidth="1"/>
    <col min="19" max="19" width="15.85546875" hidden="1" customWidth="1"/>
    <col min="20" max="20" width="14.85546875" hidden="1" customWidth="1"/>
    <col min="21" max="21" width="17.7109375" hidden="1" customWidth="1"/>
    <col min="22" max="22" width="16.140625" hidden="1" customWidth="1"/>
    <col min="23" max="23" width="16.85546875" hidden="1" customWidth="1"/>
    <col min="24" max="24" width="26.42578125" hidden="1" customWidth="1"/>
    <col min="25" max="25" width="16.42578125" hidden="1" customWidth="1"/>
    <col min="26" max="26" width="25.140625" hidden="1" customWidth="1"/>
    <col min="27" max="27" width="16.7109375" hidden="1" customWidth="1"/>
    <col min="28" max="29" width="33.85546875" hidden="1" customWidth="1"/>
    <col min="30" max="30" width="21.5703125" hidden="1" customWidth="1"/>
    <col min="31" max="31" width="23.85546875" hidden="1" customWidth="1"/>
    <col min="32" max="33" width="32.28515625" hidden="1" customWidth="1"/>
    <col min="34" max="34" width="52.85546875" customWidth="1"/>
    <col min="35" max="35" width="1.28515625" customWidth="1"/>
    <col min="36" max="36" width="18.85546875" hidden="1" customWidth="1"/>
    <col min="37" max="37" width="10.140625" hidden="1" customWidth="1"/>
    <col min="38" max="38" width="21.7109375" hidden="1" customWidth="1"/>
    <col min="39" max="41" width="24.7109375" hidden="1" customWidth="1"/>
    <col min="42" max="44" width="21.7109375" hidden="1" customWidth="1"/>
    <col min="45" max="46" width="28.28515625" hidden="1" customWidth="1"/>
    <col min="47" max="47" width="31.28515625" hidden="1" customWidth="1"/>
    <col min="48" max="48" width="28.28515625" hidden="1" customWidth="1"/>
    <col min="49" max="49" width="33.28515625" hidden="1" customWidth="1"/>
    <col min="50" max="51" width="8.85546875" hidden="1" customWidth="1"/>
    <col min="52" max="52" width="23.5703125" hidden="1" customWidth="1"/>
    <col min="53" max="53" width="9.28515625" hidden="1" customWidth="1"/>
    <col min="54" max="54" width="17.7109375" hidden="1" customWidth="1"/>
    <col min="55" max="55" width="44.85546875" customWidth="1"/>
    <col min="56" max="56" width="14.140625" customWidth="1"/>
    <col min="57" max="57" width="17.42578125" bestFit="1" customWidth="1"/>
    <col min="58" max="58" width="2.7109375" customWidth="1"/>
    <col min="59" max="61" width="8.85546875" customWidth="1"/>
    <col min="62" max="62" width="17.28515625" customWidth="1"/>
    <col min="63" max="64" width="8.85546875" customWidth="1"/>
    <col min="65" max="65" width="15" customWidth="1"/>
    <col min="66" max="66" width="8.85546875" customWidth="1"/>
    <col min="67" max="68" width="9.140625" customWidth="1"/>
    <col min="69" max="69" width="8.85546875" customWidth="1"/>
    <col min="70" max="71" width="8.85546875" style="150" customWidth="1"/>
    <col min="72" max="72" width="12" style="150" customWidth="1"/>
    <col min="73" max="73" width="8.85546875" style="150" customWidth="1"/>
    <col min="74" max="74" width="8.85546875" customWidth="1"/>
    <col min="75" max="77" width="9.140625" customWidth="1"/>
  </cols>
  <sheetData>
    <row r="1" spans="1:59" ht="15.75" thickBot="1">
      <c r="A1" s="1"/>
      <c r="B1" s="104"/>
      <c r="C1" s="2"/>
      <c r="D1" s="2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2"/>
      <c r="S1" s="105"/>
      <c r="T1" s="105"/>
      <c r="U1" s="105"/>
      <c r="V1" s="105"/>
      <c r="W1" s="105"/>
      <c r="X1" s="105"/>
      <c r="Y1" s="105"/>
      <c r="Z1" s="10"/>
      <c r="AA1" s="105"/>
      <c r="AB1" s="105"/>
      <c r="AC1" s="105"/>
      <c r="AD1" s="105"/>
      <c r="AE1" s="105"/>
      <c r="AF1" s="105"/>
      <c r="AG1" s="105"/>
      <c r="AH1" s="2"/>
      <c r="AI1" s="2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2"/>
      <c r="BD1" s="2"/>
      <c r="BE1" s="2"/>
      <c r="BF1" s="3"/>
      <c r="BG1" s="5"/>
    </row>
    <row r="2" spans="1:59" ht="15.75" thickBot="1">
      <c r="A2" s="4"/>
      <c r="B2" s="91" t="s">
        <v>260</v>
      </c>
      <c r="C2" s="44"/>
      <c r="D2" s="44"/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  <c r="J2" s="44" t="s">
        <v>40</v>
      </c>
      <c r="K2" s="44" t="s">
        <v>41</v>
      </c>
      <c r="L2" s="44" t="s">
        <v>42</v>
      </c>
      <c r="M2" s="44" t="s">
        <v>132</v>
      </c>
      <c r="N2" s="44"/>
      <c r="O2" s="44" t="s">
        <v>43</v>
      </c>
      <c r="P2" s="44" t="s">
        <v>44</v>
      </c>
      <c r="Q2" s="44" t="s">
        <v>45</v>
      </c>
      <c r="R2" s="44"/>
      <c r="S2" s="44" t="s">
        <v>28</v>
      </c>
      <c r="T2" s="44" t="s">
        <v>46</v>
      </c>
      <c r="U2" s="44" t="s">
        <v>47</v>
      </c>
      <c r="V2" s="44" t="s">
        <v>48</v>
      </c>
      <c r="W2" s="44" t="s">
        <v>272</v>
      </c>
      <c r="X2" s="44" t="s">
        <v>273</v>
      </c>
      <c r="Y2" s="44" t="s">
        <v>49</v>
      </c>
      <c r="AA2" s="44" t="s">
        <v>145</v>
      </c>
      <c r="AB2" s="44" t="s">
        <v>288</v>
      </c>
      <c r="AC2" s="44" t="s">
        <v>144</v>
      </c>
      <c r="AD2" s="44" t="s">
        <v>287</v>
      </c>
      <c r="AE2" s="44" t="s">
        <v>285</v>
      </c>
      <c r="AF2" s="44"/>
      <c r="AH2" s="45"/>
      <c r="AI2" s="5"/>
      <c r="AJ2" s="5"/>
      <c r="AK2" s="5"/>
      <c r="AL2" s="5">
        <v>0</v>
      </c>
      <c r="AM2" s="5" t="s">
        <v>339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92" t="s">
        <v>247</v>
      </c>
      <c r="BD2" s="2"/>
      <c r="BE2" s="3"/>
      <c r="BF2" s="6"/>
      <c r="BG2" s="5"/>
    </row>
    <row r="3" spans="1:59" ht="17.25">
      <c r="A3" s="4"/>
      <c r="B3" s="75" t="s">
        <v>50</v>
      </c>
      <c r="C3" s="76" t="s">
        <v>51</v>
      </c>
      <c r="D3" s="76"/>
      <c r="E3" s="76" t="s">
        <v>52</v>
      </c>
      <c r="F3" s="46" t="s">
        <v>53</v>
      </c>
      <c r="G3" s="46" t="s">
        <v>54</v>
      </c>
      <c r="H3" s="46" t="s">
        <v>54</v>
      </c>
      <c r="I3" s="46" t="s">
        <v>54</v>
      </c>
      <c r="J3" s="46" t="s">
        <v>55</v>
      </c>
      <c r="K3" s="46" t="s">
        <v>56</v>
      </c>
      <c r="L3" s="46"/>
      <c r="M3" s="46"/>
      <c r="N3" s="46" t="s">
        <v>133</v>
      </c>
      <c r="O3" s="46"/>
      <c r="P3" s="46"/>
      <c r="Q3" s="81"/>
      <c r="R3" s="46" t="s">
        <v>57</v>
      </c>
      <c r="S3" s="46" t="s">
        <v>58</v>
      </c>
      <c r="T3" s="47"/>
      <c r="U3" s="47"/>
      <c r="V3" s="47"/>
      <c r="W3" s="47" t="s">
        <v>274</v>
      </c>
      <c r="X3" s="47" t="s">
        <v>29</v>
      </c>
      <c r="Y3" s="47"/>
      <c r="AA3" s="48">
        <f>Y59</f>
        <v>246.02303427351617</v>
      </c>
      <c r="AB3" s="47">
        <f>T40</f>
        <v>287.14999999999998</v>
      </c>
      <c r="AC3" s="48">
        <f>Z59</f>
        <v>309.99831429249093</v>
      </c>
      <c r="AD3" s="48"/>
      <c r="AE3" s="48"/>
      <c r="AF3" s="48"/>
      <c r="AG3" s="57" t="s">
        <v>322</v>
      </c>
      <c r="AH3" s="49" t="s">
        <v>286</v>
      </c>
      <c r="AI3" s="5"/>
      <c r="AJ3" s="5" t="s">
        <v>174</v>
      </c>
      <c r="AK3" s="13"/>
      <c r="AL3" s="5" t="s">
        <v>175</v>
      </c>
      <c r="AM3" s="162" t="s">
        <v>334</v>
      </c>
      <c r="AN3" s="121" t="s">
        <v>338</v>
      </c>
      <c r="AO3" s="121" t="s">
        <v>335</v>
      </c>
      <c r="AP3" s="5" t="s">
        <v>183</v>
      </c>
      <c r="AQ3" s="5" t="s">
        <v>178</v>
      </c>
      <c r="AR3" s="5" t="s">
        <v>179</v>
      </c>
      <c r="AS3" s="5" t="s">
        <v>180</v>
      </c>
      <c r="AT3" s="5" t="s">
        <v>181</v>
      </c>
      <c r="AU3" s="5" t="s">
        <v>227</v>
      </c>
      <c r="AV3" s="5" t="s">
        <v>228</v>
      </c>
      <c r="AW3" s="5" t="s">
        <v>229</v>
      </c>
      <c r="AX3" s="5"/>
      <c r="AY3" s="5"/>
      <c r="AZ3" s="5"/>
      <c r="BA3" s="5"/>
      <c r="BB3" s="5"/>
      <c r="BC3" s="88" t="s">
        <v>111</v>
      </c>
      <c r="BD3" s="87">
        <f t="shared" ref="BD3:BD8" si="0">R48</f>
        <v>340.15806178674342</v>
      </c>
      <c r="BE3" s="89" t="str">
        <f t="shared" ref="BE3:BE10" si="1">AH48</f>
        <v>[m/s]</v>
      </c>
      <c r="BF3" s="89"/>
      <c r="BG3" s="85"/>
    </row>
    <row r="4" spans="1:59">
      <c r="A4" s="4"/>
      <c r="B4" s="77" t="s">
        <v>59</v>
      </c>
      <c r="C4" s="78" t="s">
        <v>60</v>
      </c>
      <c r="D4" s="24"/>
      <c r="E4" s="25">
        <v>1.171</v>
      </c>
      <c r="F4" s="26">
        <v>26.04</v>
      </c>
      <c r="G4" s="25">
        <v>319.60000000000002</v>
      </c>
      <c r="H4" s="25">
        <v>1683</v>
      </c>
      <c r="I4" s="25">
        <v>1352</v>
      </c>
      <c r="J4" s="25">
        <f t="shared" ref="J4:J9" si="2">H4/I4</f>
        <v>1.2448224852071006</v>
      </c>
      <c r="K4" s="25">
        <v>9.35</v>
      </c>
      <c r="L4" s="27">
        <f>(F4^-1)*1000</f>
        <v>38.402457757296467</v>
      </c>
      <c r="M4" s="28">
        <v>1.7999999999999999E-2</v>
      </c>
      <c r="N4" s="28">
        <f>(IF(AB4="Gas",M4,0))*Q4</f>
        <v>0</v>
      </c>
      <c r="O4" s="25">
        <v>189</v>
      </c>
      <c r="P4" s="25">
        <v>16.03</v>
      </c>
      <c r="Q4" s="29">
        <v>0</v>
      </c>
      <c r="R4" s="50">
        <f>Q4/$Q$34</f>
        <v>0</v>
      </c>
      <c r="S4" s="51">
        <f>(R4*$R$39)*101.3</f>
        <v>0</v>
      </c>
      <c r="T4" s="52">
        <f t="shared" ref="T4:T33" si="3">R4*F4</f>
        <v>0</v>
      </c>
      <c r="U4" s="52">
        <f t="shared" ref="U4:U33" si="4">T4*G4</f>
        <v>0</v>
      </c>
      <c r="V4" s="52">
        <f t="shared" ref="V4:V33" si="5">IFERROR(J4*R4,1.4*R4)</f>
        <v>0</v>
      </c>
      <c r="W4" s="52">
        <v>192.4</v>
      </c>
      <c r="X4" s="52">
        <v>1.2</v>
      </c>
      <c r="Y4" s="52">
        <f t="shared" ref="Y4:Y33" si="6">((1/O4)-((8.314*LN($R$39/1))/(P4*1000)))^-1</f>
        <v>189</v>
      </c>
      <c r="AA4" s="52" t="str">
        <f>IF(R4&gt;0,IF($AA$3&lt;W4,"Solid",IF(Y4&lt;$AA$3,"Gas","Vapor")),"")</f>
        <v/>
      </c>
      <c r="AB4" s="52" t="str">
        <f>IF(R4&gt;0,IF($AB$3&lt;W4,"Solid",IF(Y4&lt;$AB$3,"Gas","Vapor")),"")</f>
        <v/>
      </c>
      <c r="AC4" s="52" t="str">
        <f>IF(R4&gt;0,IF($AC$3&lt;W4,"Solid",IF(Y4&lt;$AC$3,"Gas","Vapor")),"")</f>
        <v/>
      </c>
      <c r="AD4" s="52">
        <f t="shared" ref="AD4:AD33" si="7">IF(AND(AB4=AC4,AC4=AA4)=TRUE,0,1)</f>
        <v>0</v>
      </c>
      <c r="AE4" s="48">
        <f>(IF(Y4&lt;W4,1,IFERROR(IF(ABS(1-(Y4/W4))&gt;0.005,0,1),0)))*AD4</f>
        <v>0</v>
      </c>
      <c r="AF4" s="5" t="str">
        <f>IF(AA4&amp;AB4&amp;AC4&amp;AE4="0","0",AA4&amp;AB4&amp;AC4&amp;AE4)</f>
        <v>0</v>
      </c>
      <c r="AG4" s="5">
        <f>INDEX($AE$84:$AG$96,MATCH(AF4,$AE$84:$AE$96,0),3)</f>
        <v>0</v>
      </c>
      <c r="AH4" s="53" t="str">
        <f>INDEX($AE$84:$AF$96,MATCH(AF4,$AE$84:$AE$96,0),2)&amp;AO4</f>
        <v>-</v>
      </c>
      <c r="AI4" s="5"/>
      <c r="AJ4" s="5" t="str">
        <f>B4</f>
        <v>Acethylene</v>
      </c>
      <c r="AK4" s="13">
        <f>S4</f>
        <v>0</v>
      </c>
      <c r="AL4" s="5">
        <v>1</v>
      </c>
      <c r="AM4" s="5">
        <v>0.01</v>
      </c>
      <c r="AN4" s="13">
        <f>IF(AM4=0,0,IF(AM4&lt;AK4,1,0))</f>
        <v>0</v>
      </c>
      <c r="AO4" s="5" t="str">
        <f>IF(AP4=2," !!! ",IF(AP4=1," ! ",""))</f>
        <v/>
      </c>
      <c r="AP4" s="5">
        <f t="shared" ref="AP4:AP33" si="8">IF(AK4&gt;0,AL4,0)</f>
        <v>0</v>
      </c>
      <c r="AQ4" s="12">
        <f t="shared" ref="AQ4:AQ33" si="9">E4</f>
        <v>1.171</v>
      </c>
      <c r="AR4" s="12">
        <f>IF(AQ4&gt;$AQ$18,1,0)</f>
        <v>0</v>
      </c>
      <c r="AS4" s="12">
        <f t="shared" ref="AS4:AS33" si="10">IF(S4&gt;$S$18,1,0)</f>
        <v>0</v>
      </c>
      <c r="AT4" s="12">
        <f>AR4*AS4</f>
        <v>0</v>
      </c>
      <c r="AU4" s="5">
        <v>10000</v>
      </c>
      <c r="AV4" s="5">
        <f t="shared" ref="AV4:AV33" si="11">AU4*F4</f>
        <v>260400</v>
      </c>
      <c r="AW4" s="5" t="s">
        <v>230</v>
      </c>
      <c r="AX4" s="5"/>
      <c r="AY4" s="5"/>
      <c r="AZ4" s="5"/>
      <c r="BA4" s="5"/>
      <c r="BB4" s="5"/>
      <c r="BC4" s="151" t="s">
        <v>157</v>
      </c>
      <c r="BD4" s="87">
        <f t="shared" si="0"/>
        <v>253.43953168865707</v>
      </c>
      <c r="BE4" s="89" t="str">
        <f t="shared" si="1"/>
        <v>[K]</v>
      </c>
      <c r="BF4" s="106"/>
      <c r="BG4" s="84"/>
    </row>
    <row r="5" spans="1:59">
      <c r="A5" s="4"/>
      <c r="B5" s="79" t="s">
        <v>3</v>
      </c>
      <c r="C5" s="78" t="s">
        <v>61</v>
      </c>
      <c r="D5" s="24"/>
      <c r="E5" s="25">
        <v>0.77100000000000002</v>
      </c>
      <c r="F5" s="26">
        <v>17.03</v>
      </c>
      <c r="G5" s="25">
        <v>488.3</v>
      </c>
      <c r="H5" s="25">
        <v>2219</v>
      </c>
      <c r="I5" s="25">
        <v>1680</v>
      </c>
      <c r="J5" s="25">
        <f t="shared" si="2"/>
        <v>1.3208333333333333</v>
      </c>
      <c r="K5" s="25">
        <v>9.18</v>
      </c>
      <c r="L5" s="27">
        <f t="shared" ref="L5:L32" si="12">(F5^-1)*1000</f>
        <v>58.719906048150321</v>
      </c>
      <c r="M5" s="28">
        <v>2.1999999999999999E-2</v>
      </c>
      <c r="N5" s="28">
        <f t="shared" ref="N5:N33" si="13">(IF(AB5="Gas",M5,0))*Q5</f>
        <v>0</v>
      </c>
      <c r="O5" s="25">
        <v>240</v>
      </c>
      <c r="P5" s="25">
        <v>23.35</v>
      </c>
      <c r="Q5" s="29">
        <v>0</v>
      </c>
      <c r="R5" s="50">
        <f t="shared" ref="R5:R31" si="14">Q5/$Q$34</f>
        <v>0</v>
      </c>
      <c r="S5" s="51">
        <f t="shared" ref="S5:S33" si="15">(R5*$R$39)*101.3</f>
        <v>0</v>
      </c>
      <c r="T5" s="52">
        <f t="shared" si="3"/>
        <v>0</v>
      </c>
      <c r="U5" s="52">
        <f t="shared" si="4"/>
        <v>0</v>
      </c>
      <c r="V5" s="52">
        <f t="shared" si="5"/>
        <v>0</v>
      </c>
      <c r="W5" s="52">
        <v>195.4</v>
      </c>
      <c r="X5" s="52">
        <v>5.9970000000000002E-2</v>
      </c>
      <c r="Y5" s="52">
        <f t="shared" si="6"/>
        <v>240</v>
      </c>
      <c r="AA5" s="52" t="str">
        <f t="shared" ref="AA5:AA33" si="16">IF(R5&gt;0,IF($AA$3&lt;W5,"Solid",IF(Y5&lt;$AA$3,"Gas","Vapor")),"")</f>
        <v/>
      </c>
      <c r="AB5" s="52" t="str">
        <f t="shared" ref="AB5:AB33" si="17">IF(R5&gt;0,IF($AB$3&lt;W5,"Solid",IF(Y5&lt;$AB$3,"Gas","Vapor")),"")</f>
        <v/>
      </c>
      <c r="AC5" s="52" t="str">
        <f t="shared" ref="AC5:AC33" si="18">IF(R5&gt;0,IF($AC$3&lt;W5,"Solid",IF(Y5&lt;$AC$3,"Gas","Vapor")),"")</f>
        <v/>
      </c>
      <c r="AD5" s="52">
        <f t="shared" si="7"/>
        <v>0</v>
      </c>
      <c r="AE5" s="48">
        <f t="shared" ref="AE5:AE33" si="19">(IF(Y5&lt;W5,1,IFERROR(IF(ABS(1-(Y5/W5))&gt;0.005,0,1),0)))*AD5</f>
        <v>0</v>
      </c>
      <c r="AF5" s="5" t="str">
        <f t="shared" ref="AF5:AF33" si="20">IF(AA5&amp;AB5&amp;AC5&amp;AE5="0","0",AA5&amp;AB5&amp;AC5&amp;AE5)</f>
        <v>0</v>
      </c>
      <c r="AG5" s="5">
        <f t="shared" ref="AG5:AG33" si="21">INDEX($AE$84:$AG$96,MATCH(AF5,$AE$84:$AE$96,0),3)</f>
        <v>0</v>
      </c>
      <c r="AH5" s="53" t="str">
        <f t="shared" ref="AH5:AH33" si="22">INDEX($AE$84:$AF$96,MATCH(AF5,$AE$84:$AE$96,0),2)&amp;AO5</f>
        <v>-</v>
      </c>
      <c r="AI5" s="5"/>
      <c r="AJ5" s="5" t="str">
        <f t="shared" ref="AJ5:AJ34" si="23">B5</f>
        <v>Ammonia</v>
      </c>
      <c r="AK5" s="13">
        <f t="shared" ref="AK5:AK33" si="24">S5</f>
        <v>0</v>
      </c>
      <c r="AL5" s="5">
        <v>1</v>
      </c>
      <c r="AM5" s="5">
        <v>5.0000000000000001E-3</v>
      </c>
      <c r="AN5" s="13">
        <f t="shared" ref="AN5:AN33" si="25">IF(AM5=0,0,IF(AM5&lt;AK5,1,0))</f>
        <v>0</v>
      </c>
      <c r="AO5" s="5" t="str">
        <f t="shared" ref="AO5:AO33" si="26">IF(AP5=2," !!! ",IF(AP5=1," ! ",""))</f>
        <v/>
      </c>
      <c r="AP5" s="5">
        <f t="shared" si="8"/>
        <v>0</v>
      </c>
      <c r="AQ5" s="12">
        <f t="shared" si="9"/>
        <v>0.77100000000000002</v>
      </c>
      <c r="AR5" s="12">
        <f t="shared" ref="AR5:AR32" si="27">IF(AQ5&gt;$AQ$18,1,0)</f>
        <v>0</v>
      </c>
      <c r="AS5" s="12">
        <f t="shared" si="10"/>
        <v>0</v>
      </c>
      <c r="AT5" s="12">
        <f t="shared" ref="AT5:AT32" si="28">AR5*AS5</f>
        <v>0</v>
      </c>
      <c r="AU5" s="5">
        <v>10000</v>
      </c>
      <c r="AV5" s="5">
        <f t="shared" si="11"/>
        <v>170300</v>
      </c>
      <c r="AW5" s="5" t="s">
        <v>230</v>
      </c>
      <c r="AX5" s="5"/>
      <c r="AY5" s="5"/>
      <c r="AZ5" s="5"/>
      <c r="BA5" s="5"/>
      <c r="BB5" s="5"/>
      <c r="BC5" s="151" t="s">
        <v>158</v>
      </c>
      <c r="BD5" s="87">
        <f t="shared" si="0"/>
        <v>33.710468311342908</v>
      </c>
      <c r="BE5" s="89" t="str">
        <f t="shared" si="1"/>
        <v>[K]</v>
      </c>
      <c r="BF5" s="106"/>
      <c r="BG5" s="84"/>
    </row>
    <row r="6" spans="1:59">
      <c r="A6" s="4"/>
      <c r="B6" s="79" t="s">
        <v>4</v>
      </c>
      <c r="C6" s="78" t="s">
        <v>5</v>
      </c>
      <c r="D6" s="24"/>
      <c r="E6" s="25">
        <v>1.782</v>
      </c>
      <c r="F6" s="26">
        <v>39.94</v>
      </c>
      <c r="G6" s="25">
        <v>208.5</v>
      </c>
      <c r="H6" s="25">
        <v>532</v>
      </c>
      <c r="I6" s="25">
        <v>322</v>
      </c>
      <c r="J6" s="25">
        <f t="shared" si="2"/>
        <v>1.6521739130434783</v>
      </c>
      <c r="K6" s="25">
        <v>20.9</v>
      </c>
      <c r="L6" s="27">
        <f t="shared" si="12"/>
        <v>25.037556334501755</v>
      </c>
      <c r="M6" s="28">
        <v>1.6E-2</v>
      </c>
      <c r="N6" s="28">
        <f t="shared" si="13"/>
        <v>1.92</v>
      </c>
      <c r="O6" s="25">
        <v>87.15</v>
      </c>
      <c r="P6" s="25">
        <v>6.53</v>
      </c>
      <c r="Q6" s="29">
        <v>120</v>
      </c>
      <c r="R6" s="50">
        <f t="shared" si="14"/>
        <v>1.0510642025050363E-2</v>
      </c>
      <c r="S6" s="51">
        <f t="shared" si="15"/>
        <v>1.0647280371376018</v>
      </c>
      <c r="T6" s="52">
        <f t="shared" si="3"/>
        <v>0.41979504248051147</v>
      </c>
      <c r="U6" s="52">
        <f t="shared" si="4"/>
        <v>87.527266357186647</v>
      </c>
      <c r="V6" s="52">
        <f t="shared" si="5"/>
        <v>1.7365408563126686E-2</v>
      </c>
      <c r="W6" s="52">
        <v>83.81</v>
      </c>
      <c r="X6" s="52">
        <v>0.68</v>
      </c>
      <c r="Y6" s="52">
        <f t="shared" si="6"/>
        <v>87.15</v>
      </c>
      <c r="AA6" s="52" t="str">
        <f t="shared" si="16"/>
        <v>Gas</v>
      </c>
      <c r="AB6" s="52" t="str">
        <f t="shared" si="17"/>
        <v>Gas</v>
      </c>
      <c r="AC6" s="52" t="str">
        <f t="shared" si="18"/>
        <v>Gas</v>
      </c>
      <c r="AD6" s="52">
        <f t="shared" si="7"/>
        <v>0</v>
      </c>
      <c r="AE6" s="48">
        <f t="shared" si="19"/>
        <v>0</v>
      </c>
      <c r="AF6" s="5" t="str">
        <f t="shared" si="20"/>
        <v>GasGasGas0</v>
      </c>
      <c r="AG6" s="5">
        <f t="shared" si="21"/>
        <v>6</v>
      </c>
      <c r="AH6" s="53" t="str">
        <f t="shared" si="22"/>
        <v>Gas</v>
      </c>
      <c r="AI6" s="5"/>
      <c r="AJ6" s="5" t="str">
        <f t="shared" si="23"/>
        <v>Argon</v>
      </c>
      <c r="AK6" s="13">
        <f t="shared" si="24"/>
        <v>1.0647280371376018</v>
      </c>
      <c r="AL6" s="5">
        <v>0</v>
      </c>
      <c r="AM6" s="5">
        <v>0</v>
      </c>
      <c r="AN6" s="13">
        <f t="shared" si="25"/>
        <v>0</v>
      </c>
      <c r="AO6" s="5" t="str">
        <f t="shared" si="26"/>
        <v/>
      </c>
      <c r="AP6" s="5">
        <f t="shared" si="8"/>
        <v>0</v>
      </c>
      <c r="AQ6" s="12">
        <f t="shared" si="9"/>
        <v>1.782</v>
      </c>
      <c r="AR6" s="12">
        <f t="shared" si="27"/>
        <v>1</v>
      </c>
      <c r="AS6" s="12">
        <f t="shared" si="10"/>
        <v>0</v>
      </c>
      <c r="AT6" s="12">
        <f t="shared" si="28"/>
        <v>0</v>
      </c>
      <c r="AU6" s="5">
        <f>IF(R6&gt;0.01,1,9999)</f>
        <v>1</v>
      </c>
      <c r="AV6" s="5">
        <f t="shared" si="11"/>
        <v>39.94</v>
      </c>
      <c r="AW6" s="5">
        <v>71</v>
      </c>
      <c r="AX6" s="5"/>
      <c r="AY6" s="5"/>
      <c r="AZ6" s="5"/>
      <c r="BA6" s="5"/>
      <c r="BB6" s="5"/>
      <c r="BC6" s="123" t="s">
        <v>263</v>
      </c>
      <c r="BD6" s="87">
        <f t="shared" si="0"/>
        <v>28.973803976526238</v>
      </c>
      <c r="BE6" s="89" t="str">
        <f t="shared" si="1"/>
        <v>[g/mol]</v>
      </c>
      <c r="BF6" s="89"/>
      <c r="BG6" s="85"/>
    </row>
    <row r="7" spans="1:59">
      <c r="A7" s="4"/>
      <c r="B7" s="79" t="s">
        <v>20</v>
      </c>
      <c r="C7" s="78" t="s">
        <v>30</v>
      </c>
      <c r="D7" s="24"/>
      <c r="E7" s="25">
        <v>1.2509999999999999</v>
      </c>
      <c r="F7" s="26">
        <v>28.02</v>
      </c>
      <c r="G7" s="25">
        <v>296.7</v>
      </c>
      <c r="H7" s="25">
        <v>1047</v>
      </c>
      <c r="I7" s="25">
        <v>746</v>
      </c>
      <c r="J7" s="25">
        <f t="shared" si="2"/>
        <v>1.4034852546916889</v>
      </c>
      <c r="K7" s="25">
        <v>17</v>
      </c>
      <c r="L7" s="27">
        <f t="shared" si="12"/>
        <v>35.68879371877231</v>
      </c>
      <c r="M7" s="28">
        <v>2.4E-2</v>
      </c>
      <c r="N7" s="28">
        <f t="shared" si="13"/>
        <v>210</v>
      </c>
      <c r="O7" s="25">
        <v>77.355000000000004</v>
      </c>
      <c r="P7" s="25">
        <v>6.1</v>
      </c>
      <c r="Q7" s="29">
        <v>8750</v>
      </c>
      <c r="R7" s="50">
        <f t="shared" si="14"/>
        <v>0.76640098099325571</v>
      </c>
      <c r="S7" s="51">
        <f t="shared" si="15"/>
        <v>77.636419374616807</v>
      </c>
      <c r="T7" s="52">
        <f t="shared" si="3"/>
        <v>21.474555487431026</v>
      </c>
      <c r="U7" s="52">
        <f t="shared" si="4"/>
        <v>6371.5006131207847</v>
      </c>
      <c r="V7" s="52">
        <f t="shared" si="5"/>
        <v>1.0756324760052798</v>
      </c>
      <c r="W7" s="59">
        <v>63.18</v>
      </c>
      <c r="X7" s="59">
        <v>0.124</v>
      </c>
      <c r="Y7" s="52">
        <f t="shared" si="6"/>
        <v>77.355000000000004</v>
      </c>
      <c r="AA7" s="52" t="str">
        <f t="shared" si="16"/>
        <v>Gas</v>
      </c>
      <c r="AB7" s="52" t="str">
        <f t="shared" si="17"/>
        <v>Gas</v>
      </c>
      <c r="AC7" s="52" t="str">
        <f t="shared" si="18"/>
        <v>Gas</v>
      </c>
      <c r="AD7" s="52">
        <f t="shared" si="7"/>
        <v>0</v>
      </c>
      <c r="AE7" s="48">
        <f t="shared" si="19"/>
        <v>0</v>
      </c>
      <c r="AF7" s="5" t="str">
        <f t="shared" si="20"/>
        <v>GasGasGas0</v>
      </c>
      <c r="AG7" s="5">
        <f t="shared" si="21"/>
        <v>6</v>
      </c>
      <c r="AH7" s="53" t="str">
        <f t="shared" si="22"/>
        <v>Gas</v>
      </c>
      <c r="AI7" s="5"/>
      <c r="AJ7" s="5" t="str">
        <f t="shared" si="23"/>
        <v>Nitrogen</v>
      </c>
      <c r="AK7" s="13">
        <f t="shared" si="24"/>
        <v>77.636419374616807</v>
      </c>
      <c r="AL7" s="5">
        <v>0</v>
      </c>
      <c r="AM7" s="121">
        <v>0</v>
      </c>
      <c r="AN7" s="13">
        <f t="shared" si="25"/>
        <v>0</v>
      </c>
      <c r="AO7" s="5" t="str">
        <f t="shared" si="26"/>
        <v/>
      </c>
      <c r="AP7" s="5">
        <f t="shared" si="8"/>
        <v>0</v>
      </c>
      <c r="AQ7" s="12">
        <f t="shared" si="9"/>
        <v>1.2509999999999999</v>
      </c>
      <c r="AR7" s="12">
        <f t="shared" si="27"/>
        <v>0</v>
      </c>
      <c r="AS7" s="12">
        <f t="shared" si="10"/>
        <v>1</v>
      </c>
      <c r="AT7" s="12">
        <f t="shared" si="28"/>
        <v>0</v>
      </c>
      <c r="AU7" s="5">
        <f>IF(R7&gt;0.01,1,9999)</f>
        <v>1</v>
      </c>
      <c r="AV7" s="5">
        <f t="shared" si="11"/>
        <v>28.02</v>
      </c>
      <c r="AW7" s="5">
        <v>56</v>
      </c>
      <c r="AX7" s="5"/>
      <c r="AY7" s="5"/>
      <c r="AZ7" s="5"/>
      <c r="BA7" s="5"/>
      <c r="BB7" s="5"/>
      <c r="BC7" s="88" t="s">
        <v>116</v>
      </c>
      <c r="BD7" s="87">
        <f t="shared" si="0"/>
        <v>286.96770624441939</v>
      </c>
      <c r="BE7" s="89" t="str">
        <f t="shared" si="1"/>
        <v>[J/kg*K]</v>
      </c>
      <c r="BF7" s="89"/>
      <c r="BG7" s="85"/>
    </row>
    <row r="8" spans="1:59">
      <c r="A8" s="4"/>
      <c r="B8" s="79" t="s">
        <v>62</v>
      </c>
      <c r="C8" s="78" t="s">
        <v>19</v>
      </c>
      <c r="D8" s="24"/>
      <c r="E8" s="25">
        <v>1.34</v>
      </c>
      <c r="F8" s="26">
        <v>30.01</v>
      </c>
      <c r="G8" s="25">
        <v>277.10000000000002</v>
      </c>
      <c r="H8" s="25">
        <v>975</v>
      </c>
      <c r="I8" s="25">
        <v>696</v>
      </c>
      <c r="J8" s="25">
        <f t="shared" si="2"/>
        <v>1.4008620689655173</v>
      </c>
      <c r="K8" s="25">
        <v>17.8</v>
      </c>
      <c r="L8" s="27">
        <f t="shared" si="12"/>
        <v>33.322225924691764</v>
      </c>
      <c r="M8" s="28">
        <v>1.5100000000000001E-2</v>
      </c>
      <c r="N8" s="28">
        <f t="shared" si="13"/>
        <v>0</v>
      </c>
      <c r="O8" s="25">
        <v>184.67</v>
      </c>
      <c r="P8" s="25">
        <v>13.8</v>
      </c>
      <c r="Q8" s="29">
        <v>0</v>
      </c>
      <c r="R8" s="50">
        <f t="shared" si="14"/>
        <v>0</v>
      </c>
      <c r="S8" s="51">
        <f t="shared" si="15"/>
        <v>0</v>
      </c>
      <c r="T8" s="52">
        <f t="shared" si="3"/>
        <v>0</v>
      </c>
      <c r="U8" s="52">
        <f t="shared" si="4"/>
        <v>0</v>
      </c>
      <c r="V8" s="52">
        <f t="shared" si="5"/>
        <v>0</v>
      </c>
      <c r="W8" s="59">
        <v>109.5</v>
      </c>
      <c r="X8" s="59">
        <v>0.21629999999999999</v>
      </c>
      <c r="Y8" s="52">
        <f t="shared" si="6"/>
        <v>184.67</v>
      </c>
      <c r="AA8" s="52" t="str">
        <f t="shared" si="16"/>
        <v/>
      </c>
      <c r="AB8" s="52" t="str">
        <f t="shared" si="17"/>
        <v/>
      </c>
      <c r="AC8" s="52" t="str">
        <f t="shared" si="18"/>
        <v/>
      </c>
      <c r="AD8" s="52">
        <f t="shared" si="7"/>
        <v>0</v>
      </c>
      <c r="AE8" s="48">
        <f t="shared" si="19"/>
        <v>0</v>
      </c>
      <c r="AF8" s="5" t="str">
        <f t="shared" si="20"/>
        <v>0</v>
      </c>
      <c r="AG8" s="5">
        <f t="shared" si="21"/>
        <v>0</v>
      </c>
      <c r="AH8" s="53" t="str">
        <f t="shared" si="22"/>
        <v>-</v>
      </c>
      <c r="AI8" s="5"/>
      <c r="AJ8" s="5" t="str">
        <f t="shared" si="23"/>
        <v>Nitrogen Oxide</v>
      </c>
      <c r="AK8" s="13">
        <f t="shared" si="24"/>
        <v>0</v>
      </c>
      <c r="AL8" s="5">
        <v>1</v>
      </c>
      <c r="AM8" s="121">
        <v>5.0000000000000001E-3</v>
      </c>
      <c r="AN8" s="13">
        <f t="shared" si="25"/>
        <v>0</v>
      </c>
      <c r="AO8" s="5" t="str">
        <f t="shared" si="26"/>
        <v/>
      </c>
      <c r="AP8" s="5">
        <f t="shared" si="8"/>
        <v>0</v>
      </c>
      <c r="AQ8" s="12">
        <f t="shared" si="9"/>
        <v>1.34</v>
      </c>
      <c r="AR8" s="12">
        <f t="shared" si="27"/>
        <v>0</v>
      </c>
      <c r="AS8" s="12">
        <f t="shared" si="10"/>
        <v>0</v>
      </c>
      <c r="AT8" s="12">
        <f t="shared" si="28"/>
        <v>0</v>
      </c>
      <c r="AU8" s="5">
        <v>10000</v>
      </c>
      <c r="AV8" s="5">
        <f t="shared" si="11"/>
        <v>300100</v>
      </c>
      <c r="AW8" s="5" t="s">
        <v>230</v>
      </c>
      <c r="AX8" s="5"/>
      <c r="AY8" s="5"/>
      <c r="AZ8" s="5"/>
      <c r="BA8" s="5"/>
      <c r="BB8" s="5"/>
      <c r="BC8" s="70" t="s">
        <v>141</v>
      </c>
      <c r="BD8" s="87">
        <f t="shared" si="0"/>
        <v>2.3879930642006046E-2</v>
      </c>
      <c r="BE8" s="89" t="str">
        <f t="shared" si="1"/>
        <v>[W/(m K)]</v>
      </c>
      <c r="BF8" s="106"/>
      <c r="BG8" s="84"/>
    </row>
    <row r="9" spans="1:59">
      <c r="A9" s="4"/>
      <c r="B9" s="79" t="s">
        <v>6</v>
      </c>
      <c r="C9" s="78" t="s">
        <v>63</v>
      </c>
      <c r="D9" s="24"/>
      <c r="E9" s="25">
        <v>2.673</v>
      </c>
      <c r="F9" s="26">
        <v>58.12</v>
      </c>
      <c r="G9" s="25">
        <v>143.19999999999999</v>
      </c>
      <c r="H9" s="25">
        <v>1917</v>
      </c>
      <c r="I9" s="25">
        <v>1733</v>
      </c>
      <c r="J9" s="25">
        <f t="shared" si="2"/>
        <v>1.1061742642815926</v>
      </c>
      <c r="K9" s="25">
        <v>8.1</v>
      </c>
      <c r="L9" s="27">
        <f t="shared" si="12"/>
        <v>17.205781142463866</v>
      </c>
      <c r="M9" s="28">
        <v>1.7000000000000001E-2</v>
      </c>
      <c r="N9" s="28">
        <f t="shared" si="13"/>
        <v>0</v>
      </c>
      <c r="O9" s="25">
        <v>271</v>
      </c>
      <c r="P9" s="25">
        <v>21</v>
      </c>
      <c r="Q9" s="29">
        <v>0</v>
      </c>
      <c r="R9" s="50">
        <f t="shared" si="14"/>
        <v>0</v>
      </c>
      <c r="S9" s="51">
        <f t="shared" si="15"/>
        <v>0</v>
      </c>
      <c r="T9" s="52">
        <f t="shared" si="3"/>
        <v>0</v>
      </c>
      <c r="U9" s="52">
        <f t="shared" si="4"/>
        <v>0</v>
      </c>
      <c r="V9" s="52">
        <f t="shared" si="5"/>
        <v>0</v>
      </c>
      <c r="W9" s="59">
        <v>134.6</v>
      </c>
      <c r="X9" s="65">
        <v>6.9999999999999999E-6</v>
      </c>
      <c r="Y9" s="52">
        <f t="shared" si="6"/>
        <v>271</v>
      </c>
      <c r="AA9" s="52" t="str">
        <f t="shared" si="16"/>
        <v/>
      </c>
      <c r="AB9" s="52" t="str">
        <f t="shared" si="17"/>
        <v/>
      </c>
      <c r="AC9" s="52" t="str">
        <f t="shared" si="18"/>
        <v/>
      </c>
      <c r="AD9" s="52">
        <f t="shared" si="7"/>
        <v>0</v>
      </c>
      <c r="AE9" s="48">
        <f t="shared" si="19"/>
        <v>0</v>
      </c>
      <c r="AF9" s="5" t="str">
        <f t="shared" si="20"/>
        <v>0</v>
      </c>
      <c r="AG9" s="5">
        <f t="shared" si="21"/>
        <v>0</v>
      </c>
      <c r="AH9" s="53" t="str">
        <f t="shared" si="22"/>
        <v>-</v>
      </c>
      <c r="AI9" s="5"/>
      <c r="AJ9" s="5" t="str">
        <f t="shared" si="23"/>
        <v>Butane</v>
      </c>
      <c r="AK9" s="13">
        <f t="shared" si="24"/>
        <v>0</v>
      </c>
      <c r="AL9" s="5">
        <v>1</v>
      </c>
      <c r="AM9" s="121">
        <v>2E-3</v>
      </c>
      <c r="AN9" s="13">
        <f t="shared" si="25"/>
        <v>0</v>
      </c>
      <c r="AO9" s="5" t="str">
        <f t="shared" si="26"/>
        <v/>
      </c>
      <c r="AP9" s="5">
        <f t="shared" si="8"/>
        <v>0</v>
      </c>
      <c r="AQ9" s="12">
        <f t="shared" si="9"/>
        <v>2.673</v>
      </c>
      <c r="AR9" s="12">
        <f t="shared" si="27"/>
        <v>1</v>
      </c>
      <c r="AS9" s="12">
        <f t="shared" si="10"/>
        <v>0</v>
      </c>
      <c r="AT9" s="12">
        <f t="shared" si="28"/>
        <v>0</v>
      </c>
      <c r="AU9" s="5">
        <v>10000</v>
      </c>
      <c r="AV9" s="5">
        <f t="shared" si="11"/>
        <v>581200</v>
      </c>
      <c r="AW9" s="5" t="s">
        <v>230</v>
      </c>
      <c r="AX9" s="5"/>
      <c r="AY9" s="5"/>
      <c r="AZ9" s="5"/>
      <c r="BA9" s="5"/>
      <c r="BB9" s="5"/>
      <c r="BC9" s="70" t="s">
        <v>264</v>
      </c>
      <c r="BD9" s="152">
        <f>IF(N54&gt;999999,"Tidaly Locked!",N54)</f>
        <v>1.0027453671928621</v>
      </c>
      <c r="BE9" s="89" t="str">
        <f t="shared" si="1"/>
        <v>[Earth solar days)</v>
      </c>
      <c r="BF9" s="106"/>
      <c r="BG9" s="84"/>
    </row>
    <row r="10" spans="1:59">
      <c r="A10" s="4"/>
      <c r="B10" s="79" t="s">
        <v>64</v>
      </c>
      <c r="C10" s="78" t="s">
        <v>63</v>
      </c>
      <c r="D10" s="24"/>
      <c r="E10" s="25">
        <v>2.6680000000000001</v>
      </c>
      <c r="F10" s="26">
        <v>58.12</v>
      </c>
      <c r="G10" s="25">
        <v>143.19999999999999</v>
      </c>
      <c r="H10" s="25">
        <v>1632</v>
      </c>
      <c r="I10" s="25">
        <f>H10/J10</f>
        <v>1457.1428571428571</v>
      </c>
      <c r="J10" s="25">
        <v>1.1200000000000001</v>
      </c>
      <c r="K10" s="25">
        <v>7.47</v>
      </c>
      <c r="L10" s="27">
        <f t="shared" si="12"/>
        <v>17.205781142463866</v>
      </c>
      <c r="M10" s="28">
        <v>1.7000000000000001E-2</v>
      </c>
      <c r="N10" s="28">
        <f t="shared" si="13"/>
        <v>0</v>
      </c>
      <c r="O10" s="25">
        <v>273</v>
      </c>
      <c r="P10" s="25">
        <v>21</v>
      </c>
      <c r="Q10" s="29">
        <v>0</v>
      </c>
      <c r="R10" s="50">
        <f t="shared" si="14"/>
        <v>0</v>
      </c>
      <c r="S10" s="51">
        <f t="shared" si="15"/>
        <v>0</v>
      </c>
      <c r="T10" s="52">
        <f t="shared" si="3"/>
        <v>0</v>
      </c>
      <c r="U10" s="52">
        <f t="shared" si="4"/>
        <v>0</v>
      </c>
      <c r="V10" s="52">
        <f t="shared" si="5"/>
        <v>0</v>
      </c>
      <c r="W10" s="59">
        <v>113.55</v>
      </c>
      <c r="X10" s="65">
        <v>1.9481000000000001E-7</v>
      </c>
      <c r="Y10" s="52">
        <f t="shared" si="6"/>
        <v>273</v>
      </c>
      <c r="AA10" s="52" t="str">
        <f t="shared" si="16"/>
        <v/>
      </c>
      <c r="AB10" s="52" t="str">
        <f t="shared" si="17"/>
        <v/>
      </c>
      <c r="AC10" s="52" t="str">
        <f t="shared" si="18"/>
        <v/>
      </c>
      <c r="AD10" s="52">
        <f t="shared" si="7"/>
        <v>0</v>
      </c>
      <c r="AE10" s="48">
        <f t="shared" si="19"/>
        <v>0</v>
      </c>
      <c r="AF10" s="5" t="str">
        <f t="shared" si="20"/>
        <v>0</v>
      </c>
      <c r="AG10" s="5">
        <f t="shared" si="21"/>
        <v>0</v>
      </c>
      <c r="AH10" s="53" t="str">
        <f t="shared" si="22"/>
        <v>-</v>
      </c>
      <c r="AI10" s="5"/>
      <c r="AJ10" s="5" t="str">
        <f t="shared" si="23"/>
        <v>i-Butane</v>
      </c>
      <c r="AK10" s="13">
        <f t="shared" si="24"/>
        <v>0</v>
      </c>
      <c r="AL10" s="5">
        <v>1</v>
      </c>
      <c r="AM10" s="121">
        <v>2E-3</v>
      </c>
      <c r="AN10" s="13">
        <f t="shared" si="25"/>
        <v>0</v>
      </c>
      <c r="AO10" s="5" t="str">
        <f t="shared" si="26"/>
        <v/>
      </c>
      <c r="AP10" s="5">
        <f t="shared" si="8"/>
        <v>0</v>
      </c>
      <c r="AQ10" s="12">
        <f t="shared" si="9"/>
        <v>2.6680000000000001</v>
      </c>
      <c r="AR10" s="12">
        <f t="shared" si="27"/>
        <v>1</v>
      </c>
      <c r="AS10" s="12">
        <f t="shared" si="10"/>
        <v>0</v>
      </c>
      <c r="AT10" s="12">
        <f t="shared" si="28"/>
        <v>0</v>
      </c>
      <c r="AU10" s="5">
        <v>10000</v>
      </c>
      <c r="AV10" s="5">
        <f t="shared" si="11"/>
        <v>581200</v>
      </c>
      <c r="AW10" s="5" t="s">
        <v>230</v>
      </c>
      <c r="AX10" s="5"/>
      <c r="AY10" s="5"/>
      <c r="AZ10" s="5"/>
      <c r="BA10" s="5"/>
      <c r="BB10" s="5"/>
      <c r="BC10" s="70" t="s">
        <v>200</v>
      </c>
      <c r="BD10" s="87">
        <f>R55</f>
        <v>9.3518197031152681</v>
      </c>
      <c r="BE10" s="89" t="str">
        <f t="shared" si="1"/>
        <v>[K]</v>
      </c>
      <c r="BF10" s="106"/>
      <c r="BG10" s="84"/>
    </row>
    <row r="11" spans="1:59">
      <c r="A11" s="4"/>
      <c r="B11" s="79" t="s">
        <v>8</v>
      </c>
      <c r="C11" s="78" t="s">
        <v>65</v>
      </c>
      <c r="D11" s="24"/>
      <c r="E11" s="25">
        <v>1.357</v>
      </c>
      <c r="F11" s="26">
        <v>30.06</v>
      </c>
      <c r="G11" s="25">
        <v>276.7</v>
      </c>
      <c r="H11" s="25">
        <v>1729</v>
      </c>
      <c r="I11" s="25">
        <v>1445</v>
      </c>
      <c r="J11" s="25">
        <f>H11/I11</f>
        <v>1.1965397923875432</v>
      </c>
      <c r="K11" s="25">
        <v>8.5</v>
      </c>
      <c r="L11" s="27">
        <f t="shared" si="12"/>
        <v>33.266799733865604</v>
      </c>
      <c r="M11" s="28">
        <v>1.7999999999999999E-2</v>
      </c>
      <c r="N11" s="28">
        <f t="shared" si="13"/>
        <v>0</v>
      </c>
      <c r="O11" s="25">
        <v>184.6</v>
      </c>
      <c r="P11" s="25">
        <v>79.87</v>
      </c>
      <c r="Q11" s="29">
        <v>0</v>
      </c>
      <c r="R11" s="50">
        <f t="shared" si="14"/>
        <v>0</v>
      </c>
      <c r="S11" s="51">
        <f t="shared" si="15"/>
        <v>0</v>
      </c>
      <c r="T11" s="52">
        <f t="shared" si="3"/>
        <v>0</v>
      </c>
      <c r="U11" s="52">
        <f t="shared" si="4"/>
        <v>0</v>
      </c>
      <c r="V11" s="52">
        <f t="shared" si="5"/>
        <v>0</v>
      </c>
      <c r="W11" s="59">
        <v>89.89</v>
      </c>
      <c r="X11" s="65">
        <v>7.9999999999999996E-6</v>
      </c>
      <c r="Y11" s="52">
        <f t="shared" si="6"/>
        <v>184.6</v>
      </c>
      <c r="AA11" s="52" t="str">
        <f t="shared" si="16"/>
        <v/>
      </c>
      <c r="AB11" s="52" t="str">
        <f t="shared" si="17"/>
        <v/>
      </c>
      <c r="AC11" s="52" t="str">
        <f t="shared" si="18"/>
        <v/>
      </c>
      <c r="AD11" s="52">
        <f t="shared" si="7"/>
        <v>0</v>
      </c>
      <c r="AE11" s="48">
        <f t="shared" si="19"/>
        <v>0</v>
      </c>
      <c r="AF11" s="5" t="str">
        <f t="shared" si="20"/>
        <v>0</v>
      </c>
      <c r="AG11" s="5">
        <f t="shared" si="21"/>
        <v>0</v>
      </c>
      <c r="AH11" s="53" t="str">
        <f t="shared" si="22"/>
        <v>-</v>
      </c>
      <c r="AI11" s="5"/>
      <c r="AJ11" s="5" t="str">
        <f t="shared" si="23"/>
        <v>Ethane</v>
      </c>
      <c r="AK11" s="13">
        <f t="shared" si="24"/>
        <v>0</v>
      </c>
      <c r="AL11" s="5">
        <v>0</v>
      </c>
      <c r="AM11" s="121">
        <v>0</v>
      </c>
      <c r="AN11" s="13">
        <f t="shared" si="25"/>
        <v>0</v>
      </c>
      <c r="AO11" s="5" t="str">
        <f t="shared" si="26"/>
        <v/>
      </c>
      <c r="AP11" s="5">
        <f t="shared" si="8"/>
        <v>0</v>
      </c>
      <c r="AQ11" s="12">
        <f t="shared" si="9"/>
        <v>1.357</v>
      </c>
      <c r="AR11" s="12">
        <f t="shared" si="27"/>
        <v>0</v>
      </c>
      <c r="AS11" s="12">
        <f t="shared" si="10"/>
        <v>0</v>
      </c>
      <c r="AT11" s="12">
        <f t="shared" si="28"/>
        <v>0</v>
      </c>
      <c r="AU11" s="5">
        <v>10000</v>
      </c>
      <c r="AV11" s="5">
        <f t="shared" si="11"/>
        <v>300600</v>
      </c>
      <c r="AW11" s="5" t="s">
        <v>230</v>
      </c>
      <c r="AX11" s="5"/>
      <c r="AY11" s="5"/>
      <c r="AZ11" s="5"/>
      <c r="BA11" s="5"/>
      <c r="BB11" s="5"/>
      <c r="BC11" s="124" t="s">
        <v>313</v>
      </c>
      <c r="BD11" s="153">
        <f>Y60</f>
        <v>-27.126965726483803</v>
      </c>
      <c r="BE11" s="6" t="s">
        <v>312</v>
      </c>
      <c r="BF11" s="106"/>
      <c r="BG11" s="84"/>
    </row>
    <row r="12" spans="1:59">
      <c r="A12" s="4"/>
      <c r="B12" s="79" t="s">
        <v>9</v>
      </c>
      <c r="C12" s="78" t="s">
        <v>66</v>
      </c>
      <c r="D12" s="24"/>
      <c r="E12" s="25">
        <v>1.2609999999999999</v>
      </c>
      <c r="F12" s="26">
        <v>28.05</v>
      </c>
      <c r="G12" s="25">
        <v>296.60000000000002</v>
      </c>
      <c r="H12" s="25">
        <v>1528</v>
      </c>
      <c r="I12" s="25">
        <v>1222</v>
      </c>
      <c r="J12" s="25">
        <f>H12/I12</f>
        <v>1.2504091653027822</v>
      </c>
      <c r="K12" s="25">
        <v>9.85</v>
      </c>
      <c r="L12" s="27">
        <f t="shared" si="12"/>
        <v>35.650623885918002</v>
      </c>
      <c r="M12" s="28">
        <v>1.7000000000000001E-2</v>
      </c>
      <c r="N12" s="28">
        <f t="shared" si="13"/>
        <v>0</v>
      </c>
      <c r="O12" s="25">
        <v>169.5</v>
      </c>
      <c r="P12" s="25">
        <v>79.95</v>
      </c>
      <c r="Q12" s="29">
        <v>0</v>
      </c>
      <c r="R12" s="50">
        <f t="shared" si="14"/>
        <v>0</v>
      </c>
      <c r="S12" s="51">
        <f t="shared" si="15"/>
        <v>0</v>
      </c>
      <c r="T12" s="52">
        <f t="shared" si="3"/>
        <v>0</v>
      </c>
      <c r="U12" s="52">
        <f t="shared" si="4"/>
        <v>0</v>
      </c>
      <c r="V12" s="52">
        <f t="shared" si="5"/>
        <v>0</v>
      </c>
      <c r="W12" s="59">
        <v>104</v>
      </c>
      <c r="X12" s="130">
        <v>1.1999999999999999E-3</v>
      </c>
      <c r="Y12" s="52">
        <f t="shared" si="6"/>
        <v>169.5</v>
      </c>
      <c r="AA12" s="52" t="str">
        <f t="shared" si="16"/>
        <v/>
      </c>
      <c r="AB12" s="52" t="str">
        <f>IF(R12&gt;0,IF($AB$3&lt;W12,"Solid",IF(Y12&lt;$AB$3,"Gas","Vapor")),"")</f>
        <v/>
      </c>
      <c r="AC12" s="52" t="str">
        <f t="shared" si="18"/>
        <v/>
      </c>
      <c r="AD12" s="52">
        <f t="shared" si="7"/>
        <v>0</v>
      </c>
      <c r="AE12" s="48">
        <f t="shared" si="19"/>
        <v>0</v>
      </c>
      <c r="AF12" s="5" t="str">
        <f t="shared" si="20"/>
        <v>0</v>
      </c>
      <c r="AG12" s="5">
        <f t="shared" si="21"/>
        <v>0</v>
      </c>
      <c r="AH12" s="53" t="str">
        <f t="shared" si="22"/>
        <v>-</v>
      </c>
      <c r="AI12" s="5"/>
      <c r="AJ12" s="5" t="str">
        <f t="shared" si="23"/>
        <v>Ethylene</v>
      </c>
      <c r="AK12" s="13">
        <f t="shared" si="24"/>
        <v>0</v>
      </c>
      <c r="AL12" s="5">
        <v>0</v>
      </c>
      <c r="AM12" s="121">
        <v>0</v>
      </c>
      <c r="AN12" s="13">
        <f t="shared" si="25"/>
        <v>0</v>
      </c>
      <c r="AO12" s="5" t="str">
        <f t="shared" si="26"/>
        <v/>
      </c>
      <c r="AP12" s="5">
        <f t="shared" si="8"/>
        <v>0</v>
      </c>
      <c r="AQ12" s="12">
        <f t="shared" si="9"/>
        <v>1.2609999999999999</v>
      </c>
      <c r="AR12" s="12">
        <f t="shared" si="27"/>
        <v>0</v>
      </c>
      <c r="AS12" s="12">
        <f t="shared" si="10"/>
        <v>0</v>
      </c>
      <c r="AT12" s="12">
        <f t="shared" si="28"/>
        <v>0</v>
      </c>
      <c r="AU12" s="5">
        <v>10000</v>
      </c>
      <c r="AV12" s="5">
        <f t="shared" si="11"/>
        <v>280500</v>
      </c>
      <c r="AW12" s="5" t="s">
        <v>230</v>
      </c>
      <c r="AX12" s="5"/>
      <c r="AY12" s="5"/>
      <c r="AZ12" s="5"/>
      <c r="BA12" s="5"/>
      <c r="BB12" s="5"/>
      <c r="BC12" s="124" t="s">
        <v>341</v>
      </c>
      <c r="BD12" s="153">
        <f>Z60</f>
        <v>36.848314292490954</v>
      </c>
      <c r="BE12" s="6" t="s">
        <v>312</v>
      </c>
      <c r="BF12" s="106"/>
      <c r="BG12" s="84"/>
    </row>
    <row r="13" spans="1:59">
      <c r="A13" s="4"/>
      <c r="B13" s="79" t="s">
        <v>67</v>
      </c>
      <c r="C13" s="80" t="s">
        <v>182</v>
      </c>
      <c r="D13" s="24"/>
      <c r="E13" s="25">
        <v>0.71399999999999997</v>
      </c>
      <c r="F13" s="26">
        <v>74.12</v>
      </c>
      <c r="G13" s="25">
        <v>112.2</v>
      </c>
      <c r="H13" s="25">
        <v>2302</v>
      </c>
      <c r="I13" s="25" t="s">
        <v>68</v>
      </c>
      <c r="J13" s="25" t="s">
        <v>68</v>
      </c>
      <c r="K13" s="25">
        <v>286</v>
      </c>
      <c r="L13" s="27">
        <f t="shared" si="12"/>
        <v>13.491635186184565</v>
      </c>
      <c r="M13" s="28">
        <v>0.14000000000000001</v>
      </c>
      <c r="N13" s="28">
        <f t="shared" si="13"/>
        <v>0</v>
      </c>
      <c r="O13" s="25">
        <v>307.8</v>
      </c>
      <c r="P13" s="25">
        <v>27.2</v>
      </c>
      <c r="Q13" s="29">
        <v>0</v>
      </c>
      <c r="R13" s="50">
        <f t="shared" si="14"/>
        <v>0</v>
      </c>
      <c r="S13" s="51">
        <f t="shared" si="15"/>
        <v>0</v>
      </c>
      <c r="T13" s="52">
        <f t="shared" si="3"/>
        <v>0</v>
      </c>
      <c r="U13" s="52">
        <f t="shared" si="4"/>
        <v>0</v>
      </c>
      <c r="V13" s="52">
        <f t="shared" si="5"/>
        <v>0</v>
      </c>
      <c r="W13" s="59">
        <v>156.91999999999999</v>
      </c>
      <c r="X13" s="130" t="s">
        <v>230</v>
      </c>
      <c r="Y13" s="52">
        <f t="shared" si="6"/>
        <v>307.8</v>
      </c>
      <c r="AA13" s="52" t="str">
        <f t="shared" si="16"/>
        <v/>
      </c>
      <c r="AB13" s="52" t="str">
        <f t="shared" si="17"/>
        <v/>
      </c>
      <c r="AC13" s="52" t="str">
        <f t="shared" si="18"/>
        <v/>
      </c>
      <c r="AD13" s="52">
        <f t="shared" si="7"/>
        <v>0</v>
      </c>
      <c r="AE13" s="48">
        <f t="shared" si="19"/>
        <v>0</v>
      </c>
      <c r="AF13" s="5" t="str">
        <f t="shared" si="20"/>
        <v>0</v>
      </c>
      <c r="AG13" s="5">
        <f t="shared" si="21"/>
        <v>0</v>
      </c>
      <c r="AH13" s="53" t="str">
        <f t="shared" si="22"/>
        <v>-</v>
      </c>
      <c r="AI13" s="5"/>
      <c r="AJ13" s="5" t="str">
        <f t="shared" si="23"/>
        <v>Ethyl Ether</v>
      </c>
      <c r="AK13" s="13">
        <f t="shared" si="24"/>
        <v>0</v>
      </c>
      <c r="AL13" s="5">
        <v>1</v>
      </c>
      <c r="AM13" s="121">
        <v>3.0000000000000001E-3</v>
      </c>
      <c r="AN13" s="13">
        <f t="shared" si="25"/>
        <v>0</v>
      </c>
      <c r="AO13" s="5" t="str">
        <f t="shared" si="26"/>
        <v/>
      </c>
      <c r="AP13" s="5">
        <f t="shared" si="8"/>
        <v>0</v>
      </c>
      <c r="AQ13" s="12">
        <f t="shared" si="9"/>
        <v>0.71399999999999997</v>
      </c>
      <c r="AR13" s="12">
        <f t="shared" si="27"/>
        <v>0</v>
      </c>
      <c r="AS13" s="12">
        <f t="shared" si="10"/>
        <v>0</v>
      </c>
      <c r="AT13" s="12">
        <f t="shared" si="28"/>
        <v>0</v>
      </c>
      <c r="AU13" s="5">
        <v>10000</v>
      </c>
      <c r="AV13" s="5">
        <f t="shared" si="11"/>
        <v>741200</v>
      </c>
      <c r="AW13" s="5" t="s">
        <v>230</v>
      </c>
      <c r="AX13" s="5"/>
      <c r="AY13" s="5"/>
      <c r="AZ13" s="5"/>
      <c r="BA13" s="5"/>
      <c r="BB13" s="5"/>
      <c r="BC13" s="70" t="s">
        <v>34</v>
      </c>
      <c r="BD13" s="87">
        <f>R56</f>
        <v>1376.1306780207449</v>
      </c>
      <c r="BE13" s="89" t="str">
        <f>AH56</f>
        <v>[W/m^2]</v>
      </c>
      <c r="BF13" s="107"/>
      <c r="BG13" s="86"/>
    </row>
    <row r="14" spans="1:59">
      <c r="A14" s="4"/>
      <c r="B14" s="79" t="s">
        <v>69</v>
      </c>
      <c r="C14" s="78" t="s">
        <v>70</v>
      </c>
      <c r="D14" s="24"/>
      <c r="E14" s="25">
        <v>0.92100000000000004</v>
      </c>
      <c r="F14" s="26">
        <v>64.5</v>
      </c>
      <c r="G14" s="25">
        <v>129</v>
      </c>
      <c r="H14" s="25">
        <v>1340</v>
      </c>
      <c r="I14" s="25" t="s">
        <v>68</v>
      </c>
      <c r="J14" s="25" t="s">
        <v>68</v>
      </c>
      <c r="K14" s="25">
        <v>9.4</v>
      </c>
      <c r="L14" s="27">
        <f t="shared" si="12"/>
        <v>15.503875968992247</v>
      </c>
      <c r="M14" s="28">
        <v>1.7000000000000001E-2</v>
      </c>
      <c r="N14" s="28">
        <f t="shared" si="13"/>
        <v>0</v>
      </c>
      <c r="O14" s="25">
        <v>285.42</v>
      </c>
      <c r="P14" s="25">
        <v>26</v>
      </c>
      <c r="Q14" s="29">
        <v>0</v>
      </c>
      <c r="R14" s="50">
        <f t="shared" si="14"/>
        <v>0</v>
      </c>
      <c r="S14" s="51">
        <f t="shared" si="15"/>
        <v>0</v>
      </c>
      <c r="T14" s="52">
        <f t="shared" si="3"/>
        <v>0</v>
      </c>
      <c r="U14" s="52">
        <f t="shared" si="4"/>
        <v>0</v>
      </c>
      <c r="V14" s="52">
        <f t="shared" si="5"/>
        <v>0</v>
      </c>
      <c r="W14" s="59">
        <v>134.82</v>
      </c>
      <c r="X14" s="130" t="s">
        <v>230</v>
      </c>
      <c r="Y14" s="52">
        <f t="shared" si="6"/>
        <v>285.42</v>
      </c>
      <c r="AA14" s="52" t="str">
        <f t="shared" si="16"/>
        <v/>
      </c>
      <c r="AB14" s="52" t="str">
        <f t="shared" si="17"/>
        <v/>
      </c>
      <c r="AC14" s="52" t="str">
        <f t="shared" si="18"/>
        <v/>
      </c>
      <c r="AD14" s="52">
        <f t="shared" si="7"/>
        <v>0</v>
      </c>
      <c r="AE14" s="48">
        <f t="shared" si="19"/>
        <v>0</v>
      </c>
      <c r="AF14" s="5" t="str">
        <f t="shared" si="20"/>
        <v>0</v>
      </c>
      <c r="AG14" s="5">
        <f t="shared" si="21"/>
        <v>0</v>
      </c>
      <c r="AH14" s="53" t="str">
        <f t="shared" si="22"/>
        <v>-</v>
      </c>
      <c r="AI14" s="5"/>
      <c r="AJ14" s="5" t="str">
        <f t="shared" si="23"/>
        <v>Ethyl Chloride</v>
      </c>
      <c r="AK14" s="13">
        <f t="shared" si="24"/>
        <v>0</v>
      </c>
      <c r="AL14" s="5">
        <v>2</v>
      </c>
      <c r="AM14" s="121">
        <v>1E-3</v>
      </c>
      <c r="AN14" s="13">
        <f t="shared" si="25"/>
        <v>0</v>
      </c>
      <c r="AO14" s="5" t="str">
        <f t="shared" si="26"/>
        <v/>
      </c>
      <c r="AP14" s="5">
        <f t="shared" si="8"/>
        <v>0</v>
      </c>
      <c r="AQ14" s="12">
        <f t="shared" si="9"/>
        <v>0.92100000000000004</v>
      </c>
      <c r="AR14" s="12">
        <f t="shared" si="27"/>
        <v>0</v>
      </c>
      <c r="AS14" s="12">
        <f t="shared" si="10"/>
        <v>0</v>
      </c>
      <c r="AT14" s="12">
        <f t="shared" si="28"/>
        <v>0</v>
      </c>
      <c r="AU14" s="5">
        <v>10000</v>
      </c>
      <c r="AV14" s="5">
        <f t="shared" si="11"/>
        <v>645000</v>
      </c>
      <c r="AW14" s="5" t="s">
        <v>230</v>
      </c>
      <c r="AX14" s="5"/>
      <c r="AY14" s="5"/>
      <c r="AZ14" s="5"/>
      <c r="BA14" s="5"/>
      <c r="BB14" s="5"/>
      <c r="BC14" s="70" t="s">
        <v>224</v>
      </c>
      <c r="BD14" s="87">
        <f>R57</f>
        <v>0.99278896545755968</v>
      </c>
      <c r="BE14" s="89" t="str">
        <f>AH57</f>
        <v>[Mass Earth)</v>
      </c>
      <c r="BF14" s="108"/>
      <c r="BG14" s="64"/>
    </row>
    <row r="15" spans="1:59">
      <c r="A15" s="4"/>
      <c r="B15" s="79" t="s">
        <v>10</v>
      </c>
      <c r="C15" s="78" t="s">
        <v>11</v>
      </c>
      <c r="D15" s="24"/>
      <c r="E15" s="25">
        <v>0.17799999999999999</v>
      </c>
      <c r="F15" s="26">
        <v>4.0019999999999998</v>
      </c>
      <c r="G15" s="25">
        <v>2079</v>
      </c>
      <c r="H15" s="25">
        <v>5274</v>
      </c>
      <c r="I15" s="25">
        <v>3181</v>
      </c>
      <c r="J15" s="25">
        <f>H15/I15</f>
        <v>1.6579691920779629</v>
      </c>
      <c r="K15" s="25">
        <v>18.8</v>
      </c>
      <c r="L15" s="27">
        <f>(F15^-1)*1000</f>
        <v>249.87506246876561</v>
      </c>
      <c r="M15" s="28">
        <v>0.14199999999999999</v>
      </c>
      <c r="N15" s="28">
        <f t="shared" si="13"/>
        <v>0</v>
      </c>
      <c r="O15" s="25">
        <v>4.2220000000000004</v>
      </c>
      <c r="P15" s="25">
        <v>8.4500000000000006E-2</v>
      </c>
      <c r="Q15" s="29">
        <v>0</v>
      </c>
      <c r="R15" s="50">
        <f t="shared" si="14"/>
        <v>0</v>
      </c>
      <c r="S15" s="51">
        <f t="shared" si="15"/>
        <v>0</v>
      </c>
      <c r="T15" s="52">
        <f t="shared" si="3"/>
        <v>0</v>
      </c>
      <c r="U15" s="52">
        <f t="shared" si="4"/>
        <v>0</v>
      </c>
      <c r="V15" s="52">
        <f t="shared" si="5"/>
        <v>0</v>
      </c>
      <c r="W15" s="59">
        <v>0</v>
      </c>
      <c r="X15" s="130">
        <v>0</v>
      </c>
      <c r="Y15" s="52">
        <f t="shared" si="6"/>
        <v>4.2220000000000004</v>
      </c>
      <c r="AA15" s="52" t="str">
        <f t="shared" si="16"/>
        <v/>
      </c>
      <c r="AB15" s="52" t="str">
        <f t="shared" si="17"/>
        <v/>
      </c>
      <c r="AC15" s="52" t="str">
        <f t="shared" si="18"/>
        <v/>
      </c>
      <c r="AD15" s="52">
        <f t="shared" si="7"/>
        <v>0</v>
      </c>
      <c r="AE15" s="48">
        <f t="shared" si="19"/>
        <v>0</v>
      </c>
      <c r="AF15" s="5" t="str">
        <f t="shared" si="20"/>
        <v>0</v>
      </c>
      <c r="AG15" s="5">
        <f t="shared" si="21"/>
        <v>0</v>
      </c>
      <c r="AH15" s="53" t="str">
        <f t="shared" si="22"/>
        <v>-</v>
      </c>
      <c r="AI15" s="5"/>
      <c r="AJ15" s="5" t="str">
        <f t="shared" si="23"/>
        <v>Helium</v>
      </c>
      <c r="AK15" s="13">
        <f t="shared" si="24"/>
        <v>0</v>
      </c>
      <c r="AL15" s="5">
        <v>0</v>
      </c>
      <c r="AM15" s="121">
        <v>0</v>
      </c>
      <c r="AN15" s="13">
        <f t="shared" si="25"/>
        <v>0</v>
      </c>
      <c r="AO15" s="5" t="str">
        <f t="shared" si="26"/>
        <v/>
      </c>
      <c r="AP15" s="5">
        <f t="shared" si="8"/>
        <v>0</v>
      </c>
      <c r="AQ15" s="12">
        <f t="shared" si="9"/>
        <v>0.17799999999999999</v>
      </c>
      <c r="AR15" s="12">
        <f t="shared" si="27"/>
        <v>0</v>
      </c>
      <c r="AS15" s="12">
        <f t="shared" si="10"/>
        <v>0</v>
      </c>
      <c r="AT15" s="12">
        <f t="shared" si="28"/>
        <v>0</v>
      </c>
      <c r="AU15" s="5">
        <f>IF(R15&gt;0.01,1,9999)</f>
        <v>9999</v>
      </c>
      <c r="AV15" s="5">
        <f t="shared" si="11"/>
        <v>40015.998</v>
      </c>
      <c r="AW15" s="5">
        <v>31</v>
      </c>
      <c r="AX15" s="5"/>
      <c r="AY15" s="5"/>
      <c r="AZ15" s="5"/>
      <c r="BA15" s="5"/>
      <c r="BB15" s="5"/>
      <c r="BC15" s="124" t="s">
        <v>265</v>
      </c>
      <c r="BD15" s="125">
        <f>K50/((4/3)*(PI()*((1000*R47)/2)^3))</f>
        <v>5531.6888684592623</v>
      </c>
      <c r="BE15" s="6" t="s">
        <v>123</v>
      </c>
      <c r="BF15" s="108"/>
      <c r="BG15" s="64"/>
    </row>
    <row r="16" spans="1:59">
      <c r="A16" s="4"/>
      <c r="B16" s="79" t="s">
        <v>71</v>
      </c>
      <c r="C16" s="78" t="s">
        <v>72</v>
      </c>
      <c r="D16" s="24"/>
      <c r="E16" s="25">
        <v>3.2170000000000001</v>
      </c>
      <c r="F16" s="26">
        <v>70.91</v>
      </c>
      <c r="G16" s="25">
        <v>117.3</v>
      </c>
      <c r="H16" s="25">
        <v>481</v>
      </c>
      <c r="I16" s="25">
        <v>355</v>
      </c>
      <c r="J16" s="25">
        <f t="shared" ref="J16:J32" si="29">H16/I16</f>
        <v>1.3549295774647887</v>
      </c>
      <c r="K16" s="25">
        <v>12</v>
      </c>
      <c r="L16" s="27">
        <f t="shared" si="12"/>
        <v>14.10238330277817</v>
      </c>
      <c r="M16" s="28">
        <v>8.0999999999999996E-3</v>
      </c>
      <c r="N16" s="28">
        <f t="shared" si="13"/>
        <v>0</v>
      </c>
      <c r="O16" s="25">
        <v>239.11</v>
      </c>
      <c r="P16" s="25">
        <v>20.41</v>
      </c>
      <c r="Q16" s="29">
        <v>0</v>
      </c>
      <c r="R16" s="50">
        <f t="shared" si="14"/>
        <v>0</v>
      </c>
      <c r="S16" s="51">
        <f t="shared" si="15"/>
        <v>0</v>
      </c>
      <c r="T16" s="52">
        <f t="shared" si="3"/>
        <v>0</v>
      </c>
      <c r="U16" s="52">
        <f t="shared" si="4"/>
        <v>0</v>
      </c>
      <c r="V16" s="52">
        <f t="shared" si="5"/>
        <v>0</v>
      </c>
      <c r="W16" s="59">
        <v>172.17</v>
      </c>
      <c r="X16" s="131" t="s">
        <v>230</v>
      </c>
      <c r="Y16" s="52">
        <f t="shared" si="6"/>
        <v>239.11</v>
      </c>
      <c r="AA16" s="52" t="str">
        <f t="shared" si="16"/>
        <v/>
      </c>
      <c r="AB16" s="52" t="str">
        <f t="shared" si="17"/>
        <v/>
      </c>
      <c r="AC16" s="52" t="str">
        <f t="shared" si="18"/>
        <v/>
      </c>
      <c r="AD16" s="52">
        <f t="shared" si="7"/>
        <v>0</v>
      </c>
      <c r="AE16" s="48">
        <f t="shared" si="19"/>
        <v>0</v>
      </c>
      <c r="AF16" s="5" t="str">
        <f t="shared" si="20"/>
        <v>0</v>
      </c>
      <c r="AG16" s="5">
        <f t="shared" si="21"/>
        <v>0</v>
      </c>
      <c r="AH16" s="53" t="str">
        <f t="shared" si="22"/>
        <v>-</v>
      </c>
      <c r="AI16" s="5"/>
      <c r="AJ16" s="5" t="str">
        <f t="shared" si="23"/>
        <v>Chlor</v>
      </c>
      <c r="AK16" s="13">
        <f t="shared" si="24"/>
        <v>0</v>
      </c>
      <c r="AL16" s="5">
        <v>2</v>
      </c>
      <c r="AM16" s="121">
        <v>1E-3</v>
      </c>
      <c r="AN16" s="13">
        <f t="shared" si="25"/>
        <v>0</v>
      </c>
      <c r="AO16" s="5" t="str">
        <f t="shared" si="26"/>
        <v/>
      </c>
      <c r="AP16" s="5">
        <f t="shared" si="8"/>
        <v>0</v>
      </c>
      <c r="AQ16" s="12">
        <f t="shared" si="9"/>
        <v>3.2170000000000001</v>
      </c>
      <c r="AR16" s="12">
        <f t="shared" si="27"/>
        <v>1</v>
      </c>
      <c r="AS16" s="12">
        <f t="shared" si="10"/>
        <v>0</v>
      </c>
      <c r="AT16" s="12">
        <f t="shared" si="28"/>
        <v>0</v>
      </c>
      <c r="AU16" s="5">
        <f>IF(R16&gt;0.01,1,9999)</f>
        <v>9999</v>
      </c>
      <c r="AV16" s="5">
        <f t="shared" si="11"/>
        <v>709029.09</v>
      </c>
      <c r="AW16" s="5">
        <v>79</v>
      </c>
      <c r="AX16" s="5"/>
      <c r="AY16" s="5"/>
      <c r="AZ16" s="5"/>
      <c r="BA16" s="5"/>
      <c r="BB16" s="5"/>
      <c r="BC16" s="124" t="s">
        <v>266</v>
      </c>
      <c r="BD16" s="125">
        <f>BD15/5513</f>
        <v>1.0033899634426378</v>
      </c>
      <c r="BE16" s="6" t="s">
        <v>267</v>
      </c>
      <c r="BF16" s="108"/>
      <c r="BG16" s="64"/>
    </row>
    <row r="17" spans="1:65">
      <c r="A17" s="4"/>
      <c r="B17" s="79" t="s">
        <v>13</v>
      </c>
      <c r="C17" s="78" t="s">
        <v>14</v>
      </c>
      <c r="D17" s="24"/>
      <c r="E17" s="25">
        <v>1.639</v>
      </c>
      <c r="F17" s="26">
        <v>36.47</v>
      </c>
      <c r="G17" s="25">
        <v>228</v>
      </c>
      <c r="H17" s="25">
        <v>812</v>
      </c>
      <c r="I17" s="25">
        <v>583</v>
      </c>
      <c r="J17" s="25">
        <f t="shared" si="29"/>
        <v>1.3927958833619212</v>
      </c>
      <c r="K17" s="25" t="s">
        <v>68</v>
      </c>
      <c r="L17" s="27">
        <f t="shared" si="12"/>
        <v>27.419797093501508</v>
      </c>
      <c r="M17" s="28">
        <v>1.2999999999999999E-2</v>
      </c>
      <c r="N17" s="28">
        <f t="shared" si="13"/>
        <v>0</v>
      </c>
      <c r="O17" s="25">
        <v>188.1</v>
      </c>
      <c r="P17" s="25">
        <v>16.2</v>
      </c>
      <c r="Q17" s="29">
        <v>0</v>
      </c>
      <c r="R17" s="50">
        <f t="shared" si="14"/>
        <v>0</v>
      </c>
      <c r="S17" s="51">
        <f t="shared" si="15"/>
        <v>0</v>
      </c>
      <c r="T17" s="52">
        <f t="shared" si="3"/>
        <v>0</v>
      </c>
      <c r="U17" s="52">
        <f t="shared" si="4"/>
        <v>0</v>
      </c>
      <c r="V17" s="52">
        <f t="shared" si="5"/>
        <v>0</v>
      </c>
      <c r="W17" s="52">
        <f>-114.18+273.15</f>
        <v>158.96999999999997</v>
      </c>
      <c r="X17" s="130" t="s">
        <v>230</v>
      </c>
      <c r="Y17" s="52">
        <f t="shared" si="6"/>
        <v>188.1</v>
      </c>
      <c r="AA17" s="52" t="str">
        <f t="shared" si="16"/>
        <v/>
      </c>
      <c r="AB17" s="52" t="str">
        <f t="shared" si="17"/>
        <v/>
      </c>
      <c r="AC17" s="52" t="str">
        <f t="shared" si="18"/>
        <v/>
      </c>
      <c r="AD17" s="52">
        <f t="shared" si="7"/>
        <v>0</v>
      </c>
      <c r="AE17" s="48">
        <f t="shared" si="19"/>
        <v>0</v>
      </c>
      <c r="AF17" s="5" t="str">
        <f t="shared" si="20"/>
        <v>0</v>
      </c>
      <c r="AG17" s="5">
        <f t="shared" si="21"/>
        <v>0</v>
      </c>
      <c r="AH17" s="53" t="str">
        <f t="shared" si="22"/>
        <v>-</v>
      </c>
      <c r="AI17" s="5"/>
      <c r="AJ17" s="5" t="str">
        <f t="shared" si="23"/>
        <v>Hydrogen Chloride</v>
      </c>
      <c r="AK17" s="13">
        <f t="shared" si="24"/>
        <v>0</v>
      </c>
      <c r="AL17" s="5">
        <v>2</v>
      </c>
      <c r="AM17" s="121">
        <v>1E-3</v>
      </c>
      <c r="AN17" s="13">
        <f t="shared" si="25"/>
        <v>0</v>
      </c>
      <c r="AO17" s="5" t="str">
        <f t="shared" si="26"/>
        <v/>
      </c>
      <c r="AP17" s="5">
        <f t="shared" si="8"/>
        <v>0</v>
      </c>
      <c r="AQ17" s="12">
        <f t="shared" si="9"/>
        <v>1.639</v>
      </c>
      <c r="AR17" s="12">
        <f t="shared" si="27"/>
        <v>1</v>
      </c>
      <c r="AS17" s="12">
        <f t="shared" si="10"/>
        <v>0</v>
      </c>
      <c r="AT17" s="12">
        <f t="shared" si="28"/>
        <v>0</v>
      </c>
      <c r="AU17" s="5">
        <v>10000</v>
      </c>
      <c r="AV17" s="5">
        <f t="shared" si="11"/>
        <v>364700</v>
      </c>
      <c r="AW17" s="5" t="s">
        <v>230</v>
      </c>
      <c r="AX17" s="5"/>
      <c r="AY17" s="5"/>
      <c r="AZ17" s="5"/>
      <c r="BA17" s="5"/>
      <c r="BB17" s="5"/>
      <c r="BC17" s="68" t="s">
        <v>119</v>
      </c>
      <c r="BD17" s="87">
        <f t="shared" ref="BD17:BD22" si="30">R58</f>
        <v>1.2296308920122845</v>
      </c>
      <c r="BE17" s="89" t="str">
        <f t="shared" ref="BE17:BE22" si="31">AH58</f>
        <v>[kg/m^3]</v>
      </c>
      <c r="BF17" s="108"/>
      <c r="BG17" s="64"/>
    </row>
    <row r="18" spans="1:65">
      <c r="A18" s="4"/>
      <c r="B18" s="79" t="s">
        <v>21</v>
      </c>
      <c r="C18" s="78" t="s">
        <v>73</v>
      </c>
      <c r="D18" s="24"/>
      <c r="E18" s="25">
        <v>1.429</v>
      </c>
      <c r="F18" s="26">
        <v>32</v>
      </c>
      <c r="G18" s="25">
        <v>259.89999999999998</v>
      </c>
      <c r="H18" s="25">
        <v>913</v>
      </c>
      <c r="I18" s="25">
        <v>653</v>
      </c>
      <c r="J18" s="25">
        <f t="shared" si="29"/>
        <v>1.3981623277182236</v>
      </c>
      <c r="K18" s="25">
        <v>20.3</v>
      </c>
      <c r="L18" s="27">
        <f t="shared" si="12"/>
        <v>31.25</v>
      </c>
      <c r="M18" s="28">
        <v>2.4E-2</v>
      </c>
      <c r="N18" s="28">
        <f t="shared" si="13"/>
        <v>56.472000000000001</v>
      </c>
      <c r="O18" s="25">
        <v>90.188000000000002</v>
      </c>
      <c r="P18" s="25">
        <v>6.82</v>
      </c>
      <c r="Q18" s="29">
        <v>2353</v>
      </c>
      <c r="R18" s="50">
        <f t="shared" si="14"/>
        <v>0.20609617237452921</v>
      </c>
      <c r="S18" s="51">
        <f t="shared" si="15"/>
        <v>20.877542261539809</v>
      </c>
      <c r="T18" s="52">
        <f t="shared" si="3"/>
        <v>6.5950775159849346</v>
      </c>
      <c r="U18" s="52">
        <f t="shared" si="4"/>
        <v>1714.0606464044843</v>
      </c>
      <c r="V18" s="52">
        <f t="shared" si="5"/>
        <v>0.28815590410098801</v>
      </c>
      <c r="W18" s="59">
        <v>54.36</v>
      </c>
      <c r="X18" s="131">
        <v>1.5E-3</v>
      </c>
      <c r="Y18" s="52">
        <f t="shared" si="6"/>
        <v>90.188000000000002</v>
      </c>
      <c r="AA18" s="52" t="str">
        <f t="shared" si="16"/>
        <v>Gas</v>
      </c>
      <c r="AB18" s="52" t="str">
        <f t="shared" si="17"/>
        <v>Gas</v>
      </c>
      <c r="AC18" s="52" t="str">
        <f t="shared" si="18"/>
        <v>Gas</v>
      </c>
      <c r="AD18" s="52">
        <f t="shared" si="7"/>
        <v>0</v>
      </c>
      <c r="AE18" s="48">
        <f t="shared" si="19"/>
        <v>0</v>
      </c>
      <c r="AF18" s="5" t="str">
        <f t="shared" si="20"/>
        <v>GasGasGas0</v>
      </c>
      <c r="AG18" s="5">
        <f t="shared" si="21"/>
        <v>6</v>
      </c>
      <c r="AH18" s="53" t="str">
        <f t="shared" si="22"/>
        <v>Gas</v>
      </c>
      <c r="AI18" s="5"/>
      <c r="AJ18" s="5" t="str">
        <f t="shared" si="23"/>
        <v>Oxygen</v>
      </c>
      <c r="AK18" s="13">
        <f t="shared" si="24"/>
        <v>20.877542261539809</v>
      </c>
      <c r="AL18" s="5">
        <v>0</v>
      </c>
      <c r="AM18" s="121">
        <v>0</v>
      </c>
      <c r="AN18" s="13">
        <f t="shared" si="25"/>
        <v>0</v>
      </c>
      <c r="AO18" s="5" t="str">
        <f t="shared" si="26"/>
        <v/>
      </c>
      <c r="AP18" s="5">
        <f t="shared" si="8"/>
        <v>0</v>
      </c>
      <c r="AQ18" s="12">
        <f t="shared" si="9"/>
        <v>1.429</v>
      </c>
      <c r="AR18" s="12">
        <f t="shared" si="27"/>
        <v>0</v>
      </c>
      <c r="AS18" s="12">
        <f t="shared" si="10"/>
        <v>0</v>
      </c>
      <c r="AT18" s="12">
        <f t="shared" si="28"/>
        <v>0</v>
      </c>
      <c r="AU18" s="5">
        <f>IF(R18&gt;0.01,1,9999)</f>
        <v>1</v>
      </c>
      <c r="AV18" s="5">
        <f t="shared" si="11"/>
        <v>32</v>
      </c>
      <c r="AW18" s="5">
        <v>48</v>
      </c>
      <c r="AX18" s="5"/>
      <c r="AY18" s="5"/>
      <c r="AZ18" s="5"/>
      <c r="BA18" s="5"/>
      <c r="BB18" s="5"/>
      <c r="BC18" s="151" t="s">
        <v>124</v>
      </c>
      <c r="BD18" s="87">
        <f t="shared" si="30"/>
        <v>8.4026575712068965</v>
      </c>
      <c r="BE18" s="89" t="str">
        <f t="shared" si="31"/>
        <v>[km]</v>
      </c>
      <c r="BF18" s="6"/>
      <c r="BG18" s="5"/>
    </row>
    <row r="19" spans="1:65">
      <c r="A19" s="4"/>
      <c r="B19" s="79" t="s">
        <v>15</v>
      </c>
      <c r="C19" s="78" t="s">
        <v>74</v>
      </c>
      <c r="D19" s="24"/>
      <c r="E19" s="25">
        <v>3.7080000000000002</v>
      </c>
      <c r="F19" s="26">
        <v>83.7</v>
      </c>
      <c r="G19" s="25">
        <v>100.3</v>
      </c>
      <c r="H19" s="25">
        <v>251</v>
      </c>
      <c r="I19" s="25">
        <v>151</v>
      </c>
      <c r="J19" s="25">
        <f t="shared" si="29"/>
        <v>1.6622516556291391</v>
      </c>
      <c r="K19" s="25">
        <v>23.2</v>
      </c>
      <c r="L19" s="27">
        <f t="shared" si="12"/>
        <v>11.947431302270012</v>
      </c>
      <c r="M19" s="28">
        <v>8.8000000000000005E-3</v>
      </c>
      <c r="N19" s="28">
        <f t="shared" si="13"/>
        <v>0.1056</v>
      </c>
      <c r="O19" s="25">
        <v>119.93</v>
      </c>
      <c r="P19" s="25">
        <v>9.08</v>
      </c>
      <c r="Q19" s="29">
        <v>12</v>
      </c>
      <c r="R19" s="50">
        <f t="shared" si="14"/>
        <v>1.0510642025050364E-3</v>
      </c>
      <c r="S19" s="51">
        <f t="shared" si="15"/>
        <v>0.10647280371376018</v>
      </c>
      <c r="T19" s="52">
        <f t="shared" si="3"/>
        <v>8.7974073749671547E-2</v>
      </c>
      <c r="U19" s="52">
        <f t="shared" si="4"/>
        <v>8.8237995970920551</v>
      </c>
      <c r="V19" s="52">
        <f t="shared" si="5"/>
        <v>1.7471332107865175E-3</v>
      </c>
      <c r="W19" s="59">
        <v>115.76</v>
      </c>
      <c r="X19" s="131">
        <v>0.73150000000000004</v>
      </c>
      <c r="Y19" s="52">
        <f t="shared" si="6"/>
        <v>119.92999999999999</v>
      </c>
      <c r="AA19" s="52" t="str">
        <f t="shared" si="16"/>
        <v>Gas</v>
      </c>
      <c r="AB19" s="52" t="str">
        <f t="shared" si="17"/>
        <v>Gas</v>
      </c>
      <c r="AC19" s="52" t="str">
        <f t="shared" si="18"/>
        <v>Gas</v>
      </c>
      <c r="AD19" s="52">
        <f t="shared" si="7"/>
        <v>0</v>
      </c>
      <c r="AE19" s="48">
        <f t="shared" si="19"/>
        <v>0</v>
      </c>
      <c r="AF19" s="5" t="str">
        <f t="shared" si="20"/>
        <v>GasGasGas0</v>
      </c>
      <c r="AG19" s="5">
        <f t="shared" si="21"/>
        <v>6</v>
      </c>
      <c r="AH19" s="53" t="str">
        <f t="shared" si="22"/>
        <v>Gas</v>
      </c>
      <c r="AI19" s="5"/>
      <c r="AJ19" s="5" t="str">
        <f t="shared" si="23"/>
        <v>Krypton</v>
      </c>
      <c r="AK19" s="13">
        <f t="shared" si="24"/>
        <v>0.10647280371376018</v>
      </c>
      <c r="AL19" s="5">
        <v>0</v>
      </c>
      <c r="AM19" s="121">
        <v>0</v>
      </c>
      <c r="AN19" s="13">
        <f t="shared" si="25"/>
        <v>0</v>
      </c>
      <c r="AO19" s="5" t="str">
        <f t="shared" si="26"/>
        <v/>
      </c>
      <c r="AP19" s="5">
        <f t="shared" si="8"/>
        <v>0</v>
      </c>
      <c r="AQ19" s="12">
        <f t="shared" si="9"/>
        <v>3.7080000000000002</v>
      </c>
      <c r="AR19" s="12">
        <f t="shared" si="27"/>
        <v>1</v>
      </c>
      <c r="AS19" s="12">
        <f t="shared" si="10"/>
        <v>0</v>
      </c>
      <c r="AT19" s="12">
        <f t="shared" si="28"/>
        <v>0</v>
      </c>
      <c r="AU19" s="5">
        <f>IF(R19&gt;0.01,1,9999)</f>
        <v>9999</v>
      </c>
      <c r="AV19" s="5">
        <f t="shared" si="11"/>
        <v>836916.3</v>
      </c>
      <c r="AW19" s="5">
        <v>88</v>
      </c>
      <c r="AX19" s="5"/>
      <c r="AY19" s="5"/>
      <c r="AZ19" s="5"/>
      <c r="BA19" s="5"/>
      <c r="BB19" s="5"/>
      <c r="BC19" s="151" t="s">
        <v>127</v>
      </c>
      <c r="BD19" s="87">
        <f t="shared" si="30"/>
        <v>116.08700438996732</v>
      </c>
      <c r="BE19" s="89" t="str">
        <f t="shared" si="31"/>
        <v>[km]</v>
      </c>
      <c r="BF19" s="6"/>
    </row>
    <row r="20" spans="1:65">
      <c r="A20" s="4"/>
      <c r="B20" s="79" t="s">
        <v>24</v>
      </c>
      <c r="C20" s="78" t="s">
        <v>75</v>
      </c>
      <c r="D20" s="24"/>
      <c r="E20" s="25">
        <v>5.851</v>
      </c>
      <c r="F20" s="26">
        <v>131.30000000000001</v>
      </c>
      <c r="G20" s="25">
        <v>63.84</v>
      </c>
      <c r="H20" s="25">
        <v>159</v>
      </c>
      <c r="I20" s="25">
        <v>96.3</v>
      </c>
      <c r="J20" s="25">
        <f t="shared" si="29"/>
        <v>1.6510903426791277</v>
      </c>
      <c r="K20" s="25">
        <v>21</v>
      </c>
      <c r="L20" s="27">
        <f t="shared" si="12"/>
        <v>7.6161462300076153</v>
      </c>
      <c r="M20" s="28">
        <v>5.1000000000000004E-3</v>
      </c>
      <c r="N20" s="28">
        <f t="shared" si="13"/>
        <v>5.6100000000000004E-2</v>
      </c>
      <c r="O20" s="25">
        <v>165.05099999999999</v>
      </c>
      <c r="P20" s="25">
        <v>12.64</v>
      </c>
      <c r="Q20" s="29">
        <v>11</v>
      </c>
      <c r="R20" s="50">
        <f t="shared" si="14"/>
        <v>9.6347551896294997E-4</v>
      </c>
      <c r="S20" s="51">
        <f t="shared" si="15"/>
        <v>9.7600070070946829E-2</v>
      </c>
      <c r="T20" s="52">
        <f t="shared" si="3"/>
        <v>0.12650433563983535</v>
      </c>
      <c r="U20" s="52">
        <f t="shared" si="4"/>
        <v>8.0760367872470891</v>
      </c>
      <c r="V20" s="52">
        <f t="shared" si="5"/>
        <v>1.5907851247674875E-3</v>
      </c>
      <c r="W20" s="59">
        <v>161.30000000000001</v>
      </c>
      <c r="X20" s="130">
        <v>0.80400000000000005</v>
      </c>
      <c r="Y20" s="52">
        <f t="shared" si="6"/>
        <v>165.05099999999999</v>
      </c>
      <c r="AA20" s="52" t="str">
        <f t="shared" si="16"/>
        <v>Gas</v>
      </c>
      <c r="AB20" s="52" t="str">
        <f t="shared" si="17"/>
        <v>Gas</v>
      </c>
      <c r="AC20" s="52" t="str">
        <f t="shared" si="18"/>
        <v>Gas</v>
      </c>
      <c r="AD20" s="52">
        <f t="shared" si="7"/>
        <v>0</v>
      </c>
      <c r="AE20" s="48">
        <f t="shared" si="19"/>
        <v>0</v>
      </c>
      <c r="AF20" s="5" t="str">
        <f t="shared" si="20"/>
        <v>GasGasGas0</v>
      </c>
      <c r="AG20" s="5">
        <f t="shared" si="21"/>
        <v>6</v>
      </c>
      <c r="AH20" s="53" t="str">
        <f t="shared" si="22"/>
        <v>Gas</v>
      </c>
      <c r="AI20" s="5"/>
      <c r="AJ20" s="5" t="str">
        <f t="shared" si="23"/>
        <v>Xenon</v>
      </c>
      <c r="AK20" s="13">
        <f t="shared" si="24"/>
        <v>9.7600070070946829E-2</v>
      </c>
      <c r="AL20" s="5">
        <v>0</v>
      </c>
      <c r="AM20" s="121">
        <v>0</v>
      </c>
      <c r="AN20" s="13">
        <f t="shared" si="25"/>
        <v>0</v>
      </c>
      <c r="AO20" s="5" t="str">
        <f t="shared" si="26"/>
        <v/>
      </c>
      <c r="AP20" s="5">
        <f t="shared" si="8"/>
        <v>0</v>
      </c>
      <c r="AQ20" s="12">
        <f t="shared" si="9"/>
        <v>5.851</v>
      </c>
      <c r="AR20" s="12">
        <f t="shared" si="27"/>
        <v>1</v>
      </c>
      <c r="AS20" s="12">
        <f t="shared" si="10"/>
        <v>0</v>
      </c>
      <c r="AT20" s="12">
        <f t="shared" si="28"/>
        <v>0</v>
      </c>
      <c r="AU20" s="5">
        <f>IF(R20&gt;0.01,1,9999)</f>
        <v>9999</v>
      </c>
      <c r="AV20" s="5">
        <f t="shared" si="11"/>
        <v>1312868.7000000002</v>
      </c>
      <c r="AW20" s="5">
        <v>108</v>
      </c>
      <c r="AX20" s="5"/>
      <c r="AY20" s="5"/>
      <c r="AZ20" s="5"/>
      <c r="BA20" s="5"/>
      <c r="BB20" s="5"/>
      <c r="BC20" s="151" t="s">
        <v>128</v>
      </c>
      <c r="BD20" s="117">
        <f t="shared" si="30"/>
        <v>8.777880904723316E-7</v>
      </c>
      <c r="BE20" s="89" t="str">
        <f t="shared" si="31"/>
        <v>[M (earth)]</v>
      </c>
      <c r="BF20" s="6"/>
    </row>
    <row r="21" spans="1:65">
      <c r="A21" s="4"/>
      <c r="B21" s="79" t="s">
        <v>16</v>
      </c>
      <c r="C21" s="78" t="s">
        <v>76</v>
      </c>
      <c r="D21" s="24"/>
      <c r="E21" s="25">
        <v>0.71699999999999997</v>
      </c>
      <c r="F21" s="26">
        <v>16.03</v>
      </c>
      <c r="G21" s="25">
        <v>518.79999999999995</v>
      </c>
      <c r="H21" s="25">
        <v>2225</v>
      </c>
      <c r="I21" s="25">
        <v>1700</v>
      </c>
      <c r="J21" s="25">
        <f t="shared" si="29"/>
        <v>1.3088235294117647</v>
      </c>
      <c r="K21" s="25">
        <v>10.3</v>
      </c>
      <c r="L21" s="27">
        <f t="shared" si="12"/>
        <v>62.383031815346222</v>
      </c>
      <c r="M21" s="28">
        <v>0.03</v>
      </c>
      <c r="N21" s="28">
        <f t="shared" si="13"/>
        <v>0</v>
      </c>
      <c r="O21" s="25">
        <v>112</v>
      </c>
      <c r="P21" s="25">
        <v>8.17</v>
      </c>
      <c r="Q21" s="29">
        <v>0</v>
      </c>
      <c r="R21" s="50">
        <f t="shared" si="14"/>
        <v>0</v>
      </c>
      <c r="S21" s="51">
        <f t="shared" si="15"/>
        <v>0</v>
      </c>
      <c r="T21" s="52">
        <f t="shared" si="3"/>
        <v>0</v>
      </c>
      <c r="U21" s="52">
        <f t="shared" si="4"/>
        <v>0</v>
      </c>
      <c r="V21" s="52">
        <f t="shared" si="5"/>
        <v>0</v>
      </c>
      <c r="W21" s="59">
        <v>90.68</v>
      </c>
      <c r="X21" s="130">
        <v>0.115</v>
      </c>
      <c r="Y21" s="52">
        <f t="shared" si="6"/>
        <v>112</v>
      </c>
      <c r="AA21" s="52" t="str">
        <f t="shared" si="16"/>
        <v/>
      </c>
      <c r="AB21" s="52" t="str">
        <f t="shared" si="17"/>
        <v/>
      </c>
      <c r="AC21" s="52" t="str">
        <f t="shared" si="18"/>
        <v/>
      </c>
      <c r="AD21" s="52">
        <f t="shared" si="7"/>
        <v>0</v>
      </c>
      <c r="AE21" s="48">
        <f t="shared" si="19"/>
        <v>0</v>
      </c>
      <c r="AF21" s="5" t="str">
        <f t="shared" si="20"/>
        <v>0</v>
      </c>
      <c r="AG21" s="5">
        <f t="shared" si="21"/>
        <v>0</v>
      </c>
      <c r="AH21" s="53" t="str">
        <f t="shared" si="22"/>
        <v>-</v>
      </c>
      <c r="AI21" s="5"/>
      <c r="AJ21" s="5" t="str">
        <f t="shared" si="23"/>
        <v>Methane</v>
      </c>
      <c r="AK21" s="13">
        <f t="shared" si="24"/>
        <v>0</v>
      </c>
      <c r="AL21" s="5">
        <v>0</v>
      </c>
      <c r="AM21" s="121">
        <v>0</v>
      </c>
      <c r="AN21" s="13">
        <f t="shared" si="25"/>
        <v>0</v>
      </c>
      <c r="AO21" s="5" t="str">
        <f t="shared" si="26"/>
        <v/>
      </c>
      <c r="AP21" s="5">
        <f t="shared" si="8"/>
        <v>0</v>
      </c>
      <c r="AQ21" s="12">
        <f t="shared" si="9"/>
        <v>0.71699999999999997</v>
      </c>
      <c r="AR21" s="12">
        <f t="shared" si="27"/>
        <v>0</v>
      </c>
      <c r="AS21" s="12">
        <f t="shared" si="10"/>
        <v>0</v>
      </c>
      <c r="AT21" s="12">
        <f t="shared" si="28"/>
        <v>0</v>
      </c>
      <c r="AU21" s="5">
        <v>10000</v>
      </c>
      <c r="AV21" s="5">
        <f t="shared" si="11"/>
        <v>160300</v>
      </c>
      <c r="AW21" s="5" t="s">
        <v>230</v>
      </c>
      <c r="AX21" s="5"/>
      <c r="AY21" s="5"/>
      <c r="AZ21" s="5"/>
      <c r="BA21" s="5"/>
      <c r="BB21" s="5"/>
      <c r="BC21" s="151" t="s">
        <v>130</v>
      </c>
      <c r="BD21" s="87">
        <f t="shared" si="30"/>
        <v>1.0179256807840689</v>
      </c>
      <c r="BE21" s="89" t="str">
        <f t="shared" si="31"/>
        <v>[M(eam)]</v>
      </c>
      <c r="BF21" s="6"/>
    </row>
    <row r="22" spans="1:65">
      <c r="A22" s="4"/>
      <c r="B22" s="77" t="s">
        <v>17</v>
      </c>
      <c r="C22" s="78" t="s">
        <v>77</v>
      </c>
      <c r="D22" s="24"/>
      <c r="E22" s="25">
        <v>2.3079999999999998</v>
      </c>
      <c r="F22" s="26">
        <v>50.48</v>
      </c>
      <c r="G22" s="25">
        <v>164.8</v>
      </c>
      <c r="H22" s="25">
        <v>741</v>
      </c>
      <c r="I22" s="25">
        <v>582</v>
      </c>
      <c r="J22" s="25">
        <f t="shared" si="29"/>
        <v>1.2731958762886597</v>
      </c>
      <c r="K22" s="25">
        <v>9.89</v>
      </c>
      <c r="L22" s="27">
        <f t="shared" si="12"/>
        <v>19.809825673534075</v>
      </c>
      <c r="M22" s="28">
        <v>1.7000000000000001E-2</v>
      </c>
      <c r="N22" s="28">
        <f t="shared" si="13"/>
        <v>0</v>
      </c>
      <c r="O22" s="25">
        <v>249.3</v>
      </c>
      <c r="P22" s="25">
        <v>22</v>
      </c>
      <c r="Q22" s="29">
        <v>0</v>
      </c>
      <c r="R22" s="50">
        <f t="shared" si="14"/>
        <v>0</v>
      </c>
      <c r="S22" s="51">
        <f t="shared" si="15"/>
        <v>0</v>
      </c>
      <c r="T22" s="52">
        <f t="shared" si="3"/>
        <v>0</v>
      </c>
      <c r="U22" s="52">
        <f t="shared" si="4"/>
        <v>0</v>
      </c>
      <c r="V22" s="52">
        <f t="shared" si="5"/>
        <v>0</v>
      </c>
      <c r="W22" s="59">
        <v>175.43</v>
      </c>
      <c r="X22" s="131" t="s">
        <v>230</v>
      </c>
      <c r="Y22" s="52">
        <f t="shared" si="6"/>
        <v>249.30000000000004</v>
      </c>
      <c r="AA22" s="52" t="str">
        <f t="shared" si="16"/>
        <v/>
      </c>
      <c r="AB22" s="52" t="str">
        <f t="shared" si="17"/>
        <v/>
      </c>
      <c r="AC22" s="52" t="str">
        <f t="shared" si="18"/>
        <v/>
      </c>
      <c r="AD22" s="52">
        <f t="shared" si="7"/>
        <v>0</v>
      </c>
      <c r="AE22" s="48">
        <f t="shared" si="19"/>
        <v>0</v>
      </c>
      <c r="AF22" s="5" t="str">
        <f t="shared" si="20"/>
        <v>0</v>
      </c>
      <c r="AG22" s="5">
        <f t="shared" si="21"/>
        <v>0</v>
      </c>
      <c r="AH22" s="53" t="str">
        <f t="shared" si="22"/>
        <v>-</v>
      </c>
      <c r="AI22" s="5"/>
      <c r="AJ22" s="5" t="str">
        <f t="shared" si="23"/>
        <v>Methyl Chloride</v>
      </c>
      <c r="AK22" s="13">
        <f t="shared" si="24"/>
        <v>0</v>
      </c>
      <c r="AL22" s="5">
        <v>1</v>
      </c>
      <c r="AM22" s="5" t="s">
        <v>336</v>
      </c>
      <c r="AN22" s="13">
        <f t="shared" si="25"/>
        <v>0</v>
      </c>
      <c r="AO22" s="5" t="str">
        <f t="shared" si="26"/>
        <v/>
      </c>
      <c r="AP22" s="5">
        <f t="shared" si="8"/>
        <v>0</v>
      </c>
      <c r="AQ22" s="12">
        <f t="shared" si="9"/>
        <v>2.3079999999999998</v>
      </c>
      <c r="AR22" s="12">
        <f t="shared" si="27"/>
        <v>1</v>
      </c>
      <c r="AS22" s="12">
        <f t="shared" si="10"/>
        <v>0</v>
      </c>
      <c r="AT22" s="12">
        <f t="shared" si="28"/>
        <v>0</v>
      </c>
      <c r="AU22" s="5">
        <v>10000</v>
      </c>
      <c r="AV22" s="5">
        <f t="shared" si="11"/>
        <v>504799.99999999994</v>
      </c>
      <c r="AW22" s="5" t="s">
        <v>230</v>
      </c>
      <c r="AX22" s="5"/>
      <c r="AY22" s="5"/>
      <c r="AZ22" s="5"/>
      <c r="BA22" s="5"/>
      <c r="BB22" s="5"/>
      <c r="BC22" s="4" t="s">
        <v>252</v>
      </c>
      <c r="BD22" s="87">
        <f t="shared" si="30"/>
        <v>11167.542254229442</v>
      </c>
      <c r="BE22" s="89" t="str">
        <f t="shared" si="31"/>
        <v>[m/s]</v>
      </c>
      <c r="BF22" s="6"/>
    </row>
    <row r="23" spans="1:65">
      <c r="A23" s="4"/>
      <c r="B23" s="79" t="s">
        <v>18</v>
      </c>
      <c r="C23" s="78" t="s">
        <v>78</v>
      </c>
      <c r="D23" s="24"/>
      <c r="E23" s="25">
        <v>0.9002</v>
      </c>
      <c r="F23" s="26">
        <v>20.18</v>
      </c>
      <c r="G23" s="25">
        <v>411.7</v>
      </c>
      <c r="H23" s="25">
        <v>1038</v>
      </c>
      <c r="I23" s="25">
        <v>620</v>
      </c>
      <c r="J23" s="25">
        <f t="shared" si="29"/>
        <v>1.6741935483870967</v>
      </c>
      <c r="K23" s="25">
        <v>29.7</v>
      </c>
      <c r="L23" s="27">
        <f t="shared" si="12"/>
        <v>49.554013875123886</v>
      </c>
      <c r="M23" s="28">
        <v>4.5999999999999999E-2</v>
      </c>
      <c r="N23" s="28">
        <f t="shared" si="13"/>
        <v>0</v>
      </c>
      <c r="O23" s="25">
        <v>27.103999999999999</v>
      </c>
      <c r="P23" s="25">
        <v>1.71</v>
      </c>
      <c r="Q23" s="29">
        <v>0</v>
      </c>
      <c r="R23" s="50">
        <f t="shared" si="14"/>
        <v>0</v>
      </c>
      <c r="S23" s="51">
        <f t="shared" si="15"/>
        <v>0</v>
      </c>
      <c r="T23" s="52">
        <f t="shared" si="3"/>
        <v>0</v>
      </c>
      <c r="U23" s="52">
        <f t="shared" si="4"/>
        <v>0</v>
      </c>
      <c r="V23" s="52">
        <f t="shared" si="5"/>
        <v>0</v>
      </c>
      <c r="W23" s="59">
        <v>24.57</v>
      </c>
      <c r="X23" s="130">
        <v>0.42599999999999999</v>
      </c>
      <c r="Y23" s="52">
        <f t="shared" si="6"/>
        <v>27.103999999999999</v>
      </c>
      <c r="AA23" s="52" t="str">
        <f t="shared" si="16"/>
        <v/>
      </c>
      <c r="AB23" s="52" t="str">
        <f t="shared" si="17"/>
        <v/>
      </c>
      <c r="AC23" s="52" t="str">
        <f t="shared" si="18"/>
        <v/>
      </c>
      <c r="AD23" s="52">
        <f t="shared" si="7"/>
        <v>0</v>
      </c>
      <c r="AE23" s="48">
        <f t="shared" si="19"/>
        <v>0</v>
      </c>
      <c r="AF23" s="5" t="str">
        <f t="shared" si="20"/>
        <v>0</v>
      </c>
      <c r="AG23" s="5">
        <f t="shared" si="21"/>
        <v>0</v>
      </c>
      <c r="AH23" s="53" t="str">
        <f t="shared" si="22"/>
        <v>-</v>
      </c>
      <c r="AI23" s="5"/>
      <c r="AJ23" s="5" t="str">
        <f t="shared" si="23"/>
        <v>Neon</v>
      </c>
      <c r="AK23" s="13">
        <f t="shared" si="24"/>
        <v>0</v>
      </c>
      <c r="AL23" s="5">
        <v>0</v>
      </c>
      <c r="AM23" s="121">
        <v>0</v>
      </c>
      <c r="AN23" s="13">
        <f t="shared" si="25"/>
        <v>0</v>
      </c>
      <c r="AO23" s="5" t="str">
        <f t="shared" si="26"/>
        <v/>
      </c>
      <c r="AP23" s="5">
        <f t="shared" si="8"/>
        <v>0</v>
      </c>
      <c r="AQ23" s="12">
        <f t="shared" si="9"/>
        <v>0.9002</v>
      </c>
      <c r="AR23" s="12">
        <f t="shared" si="27"/>
        <v>0</v>
      </c>
      <c r="AS23" s="12">
        <f t="shared" si="10"/>
        <v>0</v>
      </c>
      <c r="AT23" s="12">
        <f t="shared" si="28"/>
        <v>0</v>
      </c>
      <c r="AU23" s="5">
        <f>IF(R23&gt;0.01,1,9999)</f>
        <v>9999</v>
      </c>
      <c r="AV23" s="5">
        <f t="shared" si="11"/>
        <v>201779.82</v>
      </c>
      <c r="AW23" s="5">
        <v>56</v>
      </c>
      <c r="AX23" s="5"/>
      <c r="AY23" s="5"/>
      <c r="AZ23" s="5"/>
      <c r="BA23" s="5"/>
      <c r="BB23" s="5"/>
      <c r="BC23" s="4"/>
      <c r="BD23" s="5"/>
      <c r="BE23" s="6"/>
      <c r="BF23" s="6"/>
    </row>
    <row r="24" spans="1:65">
      <c r="A24" s="4"/>
      <c r="B24" s="79" t="s">
        <v>79</v>
      </c>
      <c r="C24" s="78" t="s">
        <v>80</v>
      </c>
      <c r="D24" s="24"/>
      <c r="E24" s="25">
        <v>2.2200000000000002</v>
      </c>
      <c r="F24" s="26">
        <v>48</v>
      </c>
      <c r="G24" s="25">
        <v>173.4</v>
      </c>
      <c r="H24" s="25">
        <v>1000</v>
      </c>
      <c r="I24" s="25" t="s">
        <v>68</v>
      </c>
      <c r="J24" s="25">
        <v>1.29</v>
      </c>
      <c r="K24" s="25" t="s">
        <v>68</v>
      </c>
      <c r="L24" s="27">
        <f t="shared" si="12"/>
        <v>20.833333333333332</v>
      </c>
      <c r="M24" s="28">
        <v>1.7999999999999999E-2</v>
      </c>
      <c r="N24" s="28">
        <f t="shared" si="13"/>
        <v>0</v>
      </c>
      <c r="O24" s="25">
        <v>161</v>
      </c>
      <c r="P24" s="25">
        <v>15</v>
      </c>
      <c r="Q24" s="29">
        <v>0</v>
      </c>
      <c r="R24" s="50">
        <f t="shared" si="14"/>
        <v>0</v>
      </c>
      <c r="S24" s="51">
        <f t="shared" si="15"/>
        <v>0</v>
      </c>
      <c r="T24" s="52">
        <f t="shared" si="3"/>
        <v>0</v>
      </c>
      <c r="U24" s="52">
        <f t="shared" si="4"/>
        <v>0</v>
      </c>
      <c r="V24" s="52">
        <f t="shared" si="5"/>
        <v>0</v>
      </c>
      <c r="W24" s="59">
        <f>-193+273.15</f>
        <v>80.149999999999977</v>
      </c>
      <c r="X24" s="131" t="s">
        <v>230</v>
      </c>
      <c r="Y24" s="52">
        <f t="shared" si="6"/>
        <v>161</v>
      </c>
      <c r="AA24" s="52" t="str">
        <f t="shared" si="16"/>
        <v/>
      </c>
      <c r="AB24" s="52" t="str">
        <f t="shared" si="17"/>
        <v/>
      </c>
      <c r="AC24" s="52" t="str">
        <f t="shared" si="18"/>
        <v/>
      </c>
      <c r="AD24" s="52">
        <f t="shared" si="7"/>
        <v>0</v>
      </c>
      <c r="AE24" s="48">
        <f t="shared" si="19"/>
        <v>0</v>
      </c>
      <c r="AF24" s="5" t="str">
        <f t="shared" si="20"/>
        <v>0</v>
      </c>
      <c r="AG24" s="5">
        <f t="shared" si="21"/>
        <v>0</v>
      </c>
      <c r="AH24" s="53" t="str">
        <f t="shared" si="22"/>
        <v>-</v>
      </c>
      <c r="AI24" s="5"/>
      <c r="AJ24" s="5" t="str">
        <f t="shared" si="23"/>
        <v>Ozone</v>
      </c>
      <c r="AK24" s="13">
        <f t="shared" si="24"/>
        <v>0</v>
      </c>
      <c r="AL24" s="5">
        <v>0</v>
      </c>
      <c r="AM24" s="121">
        <v>0</v>
      </c>
      <c r="AN24" s="13">
        <f t="shared" si="25"/>
        <v>0</v>
      </c>
      <c r="AO24" s="5" t="str">
        <f t="shared" si="26"/>
        <v/>
      </c>
      <c r="AP24" s="5">
        <f t="shared" si="8"/>
        <v>0</v>
      </c>
      <c r="AQ24" s="12">
        <f t="shared" si="9"/>
        <v>2.2200000000000002</v>
      </c>
      <c r="AR24" s="12">
        <f t="shared" si="27"/>
        <v>1</v>
      </c>
      <c r="AS24" s="12">
        <f t="shared" si="10"/>
        <v>0</v>
      </c>
      <c r="AT24" s="12">
        <f t="shared" si="28"/>
        <v>0</v>
      </c>
      <c r="AU24" s="5">
        <f>IF(R24&gt;0.01,1,9999)</f>
        <v>9999</v>
      </c>
      <c r="AV24" s="5">
        <f t="shared" si="11"/>
        <v>479952</v>
      </c>
      <c r="AW24" s="5">
        <v>48</v>
      </c>
      <c r="AX24" s="5"/>
      <c r="AY24" s="5"/>
      <c r="AZ24" s="5"/>
      <c r="BA24" s="5"/>
      <c r="BB24" s="5"/>
      <c r="BC24" s="4"/>
      <c r="BD24" s="5"/>
      <c r="BE24" s="6"/>
      <c r="BF24" s="6"/>
    </row>
    <row r="25" spans="1:65">
      <c r="A25" s="4"/>
      <c r="B25" s="79" t="s">
        <v>22</v>
      </c>
      <c r="C25" s="78" t="s">
        <v>81</v>
      </c>
      <c r="D25" s="24"/>
      <c r="E25" s="25">
        <v>0.626</v>
      </c>
      <c r="F25" s="26">
        <v>72.099999999999994</v>
      </c>
      <c r="G25" s="25">
        <v>115.2</v>
      </c>
      <c r="H25" s="25">
        <v>1717</v>
      </c>
      <c r="I25" s="25">
        <v>1575</v>
      </c>
      <c r="J25" s="25">
        <f t="shared" si="29"/>
        <v>1.0901587301587301</v>
      </c>
      <c r="K25" s="25">
        <v>8.74</v>
      </c>
      <c r="L25" s="27">
        <f t="shared" si="12"/>
        <v>13.869625520110958</v>
      </c>
      <c r="M25" s="28">
        <v>1.4999999999999999E-2</v>
      </c>
      <c r="N25" s="28">
        <f t="shared" si="13"/>
        <v>0</v>
      </c>
      <c r="O25" s="25">
        <v>309.39999999999998</v>
      </c>
      <c r="P25" s="25">
        <v>26.7</v>
      </c>
      <c r="Q25" s="29">
        <v>0</v>
      </c>
      <c r="R25" s="50">
        <f t="shared" si="14"/>
        <v>0</v>
      </c>
      <c r="S25" s="51">
        <f t="shared" si="15"/>
        <v>0</v>
      </c>
      <c r="T25" s="52">
        <f t="shared" si="3"/>
        <v>0</v>
      </c>
      <c r="U25" s="52">
        <f t="shared" si="4"/>
        <v>0</v>
      </c>
      <c r="V25" s="52">
        <f t="shared" si="5"/>
        <v>0</v>
      </c>
      <c r="W25" s="59">
        <v>143.46</v>
      </c>
      <c r="X25" s="131" t="s">
        <v>230</v>
      </c>
      <c r="Y25" s="52">
        <f t="shared" si="6"/>
        <v>309.39999999999998</v>
      </c>
      <c r="AA25" s="52" t="str">
        <f t="shared" si="16"/>
        <v/>
      </c>
      <c r="AB25" s="52" t="str">
        <f t="shared" si="17"/>
        <v/>
      </c>
      <c r="AC25" s="52" t="str">
        <f t="shared" si="18"/>
        <v/>
      </c>
      <c r="AD25" s="52">
        <f t="shared" si="7"/>
        <v>0</v>
      </c>
      <c r="AE25" s="48">
        <f t="shared" si="19"/>
        <v>0</v>
      </c>
      <c r="AF25" s="5" t="str">
        <f t="shared" si="20"/>
        <v>0</v>
      </c>
      <c r="AG25" s="5">
        <f t="shared" si="21"/>
        <v>0</v>
      </c>
      <c r="AH25" s="53" t="str">
        <f t="shared" si="22"/>
        <v>-</v>
      </c>
      <c r="AI25" s="5"/>
      <c r="AJ25" s="5" t="str">
        <f t="shared" si="23"/>
        <v>Pentane</v>
      </c>
      <c r="AK25" s="13">
        <f t="shared" si="24"/>
        <v>0</v>
      </c>
      <c r="AL25" s="5">
        <v>1</v>
      </c>
      <c r="AM25" s="5" t="s">
        <v>337</v>
      </c>
      <c r="AN25" s="13">
        <f t="shared" si="25"/>
        <v>0</v>
      </c>
      <c r="AO25" s="5" t="str">
        <f t="shared" si="26"/>
        <v/>
      </c>
      <c r="AP25" s="5">
        <f t="shared" si="8"/>
        <v>0</v>
      </c>
      <c r="AQ25" s="12">
        <f t="shared" si="9"/>
        <v>0.626</v>
      </c>
      <c r="AR25" s="12">
        <f t="shared" si="27"/>
        <v>0</v>
      </c>
      <c r="AS25" s="12">
        <f t="shared" si="10"/>
        <v>0</v>
      </c>
      <c r="AT25" s="12">
        <f t="shared" si="28"/>
        <v>0</v>
      </c>
      <c r="AU25" s="5">
        <v>10000</v>
      </c>
      <c r="AV25" s="5">
        <f t="shared" si="11"/>
        <v>721000</v>
      </c>
      <c r="AW25" s="13" t="s">
        <v>230</v>
      </c>
      <c r="AX25" s="5"/>
      <c r="AY25" s="5"/>
      <c r="AZ25" s="5"/>
      <c r="BA25" s="5"/>
      <c r="BB25" s="5"/>
      <c r="BC25" s="4"/>
      <c r="BD25" s="5"/>
      <c r="BE25" s="6"/>
      <c r="BF25" s="6"/>
    </row>
    <row r="26" spans="1:65">
      <c r="A26" s="4"/>
      <c r="B26" s="79" t="s">
        <v>23</v>
      </c>
      <c r="C26" s="78" t="s">
        <v>82</v>
      </c>
      <c r="D26" s="24"/>
      <c r="E26" s="25">
        <v>2.02</v>
      </c>
      <c r="F26" s="26">
        <v>44.06</v>
      </c>
      <c r="G26" s="25">
        <v>188.8</v>
      </c>
      <c r="H26" s="25">
        <v>1863</v>
      </c>
      <c r="I26" s="25">
        <v>1650</v>
      </c>
      <c r="J26" s="25">
        <f t="shared" si="29"/>
        <v>1.1290909090909091</v>
      </c>
      <c r="K26" s="25">
        <v>7.95</v>
      </c>
      <c r="L26" s="27">
        <f t="shared" si="12"/>
        <v>22.696323195642304</v>
      </c>
      <c r="M26" s="28">
        <v>1.4999999999999999E-2</v>
      </c>
      <c r="N26" s="28">
        <f t="shared" si="13"/>
        <v>0</v>
      </c>
      <c r="O26" s="25">
        <v>231</v>
      </c>
      <c r="P26" s="25">
        <v>15.7</v>
      </c>
      <c r="Q26" s="29">
        <v>0</v>
      </c>
      <c r="R26" s="50">
        <f t="shared" si="14"/>
        <v>0</v>
      </c>
      <c r="S26" s="51">
        <f t="shared" si="15"/>
        <v>0</v>
      </c>
      <c r="T26" s="52">
        <f t="shared" si="3"/>
        <v>0</v>
      </c>
      <c r="U26" s="52">
        <f t="shared" si="4"/>
        <v>0</v>
      </c>
      <c r="V26" s="52">
        <f t="shared" si="5"/>
        <v>0</v>
      </c>
      <c r="W26" s="59">
        <v>85</v>
      </c>
      <c r="X26" s="130" t="s">
        <v>230</v>
      </c>
      <c r="Y26" s="52">
        <f t="shared" si="6"/>
        <v>231</v>
      </c>
      <c r="AA26" s="52" t="str">
        <f t="shared" si="16"/>
        <v/>
      </c>
      <c r="AB26" s="52" t="str">
        <f t="shared" si="17"/>
        <v/>
      </c>
      <c r="AC26" s="52" t="str">
        <f t="shared" si="18"/>
        <v/>
      </c>
      <c r="AD26" s="52">
        <f t="shared" si="7"/>
        <v>0</v>
      </c>
      <c r="AE26" s="48">
        <f t="shared" si="19"/>
        <v>0</v>
      </c>
      <c r="AF26" s="5" t="str">
        <f t="shared" si="20"/>
        <v>0</v>
      </c>
      <c r="AG26" s="5">
        <f t="shared" si="21"/>
        <v>0</v>
      </c>
      <c r="AH26" s="53" t="str">
        <f t="shared" si="22"/>
        <v>-</v>
      </c>
      <c r="AI26" s="5"/>
      <c r="AJ26" s="5" t="str">
        <f t="shared" si="23"/>
        <v>Propane</v>
      </c>
      <c r="AK26" s="13">
        <f t="shared" si="24"/>
        <v>0</v>
      </c>
      <c r="AL26" s="5">
        <v>0</v>
      </c>
      <c r="AM26" s="121">
        <v>0</v>
      </c>
      <c r="AN26" s="13">
        <f t="shared" si="25"/>
        <v>0</v>
      </c>
      <c r="AO26" s="5" t="str">
        <f t="shared" si="26"/>
        <v/>
      </c>
      <c r="AP26" s="5">
        <f t="shared" si="8"/>
        <v>0</v>
      </c>
      <c r="AQ26" s="12">
        <f t="shared" si="9"/>
        <v>2.02</v>
      </c>
      <c r="AR26" s="12">
        <f t="shared" si="27"/>
        <v>1</v>
      </c>
      <c r="AS26" s="12">
        <f t="shared" si="10"/>
        <v>0</v>
      </c>
      <c r="AT26" s="12">
        <f t="shared" si="28"/>
        <v>0</v>
      </c>
      <c r="AU26" s="5">
        <v>10000</v>
      </c>
      <c r="AV26" s="5">
        <f t="shared" si="11"/>
        <v>440600</v>
      </c>
      <c r="AW26" s="13" t="s">
        <v>230</v>
      </c>
      <c r="AX26" s="5"/>
      <c r="AY26" s="5"/>
      <c r="AZ26" s="5"/>
      <c r="BA26" s="5"/>
      <c r="BB26" s="5"/>
      <c r="BC26" s="4"/>
      <c r="BD26" s="5"/>
      <c r="BE26" s="6"/>
      <c r="BF26" s="6"/>
      <c r="BM26" s="120"/>
    </row>
    <row r="27" spans="1:65">
      <c r="A27" s="4"/>
      <c r="B27" s="79" t="s">
        <v>83</v>
      </c>
      <c r="C27" s="78" t="s">
        <v>84</v>
      </c>
      <c r="D27" s="24"/>
      <c r="E27" s="25">
        <v>1.9139999999999999</v>
      </c>
      <c r="F27" s="26">
        <v>42.05</v>
      </c>
      <c r="G27" s="25">
        <v>198.8</v>
      </c>
      <c r="H27" s="25">
        <v>1635</v>
      </c>
      <c r="I27" s="25">
        <v>1437</v>
      </c>
      <c r="J27" s="25">
        <f t="shared" si="29"/>
        <v>1.1377870563674322</v>
      </c>
      <c r="K27" s="25">
        <v>8.35</v>
      </c>
      <c r="L27" s="27">
        <f t="shared" si="12"/>
        <v>23.781212841854934</v>
      </c>
      <c r="M27" s="28">
        <v>1.4999999999999999E-2</v>
      </c>
      <c r="N27" s="28">
        <f t="shared" si="13"/>
        <v>0</v>
      </c>
      <c r="O27" s="25">
        <v>225.6</v>
      </c>
      <c r="P27" s="25">
        <v>81.73</v>
      </c>
      <c r="Q27" s="29">
        <v>0</v>
      </c>
      <c r="R27" s="50">
        <f t="shared" si="14"/>
        <v>0</v>
      </c>
      <c r="S27" s="51">
        <f t="shared" si="15"/>
        <v>0</v>
      </c>
      <c r="T27" s="52">
        <f t="shared" si="3"/>
        <v>0</v>
      </c>
      <c r="U27" s="52">
        <f t="shared" si="4"/>
        <v>0</v>
      </c>
      <c r="V27" s="52">
        <f t="shared" si="5"/>
        <v>0</v>
      </c>
      <c r="W27" s="59">
        <v>87.8</v>
      </c>
      <c r="X27" s="130" t="s">
        <v>230</v>
      </c>
      <c r="Y27" s="52">
        <f t="shared" si="6"/>
        <v>225.6</v>
      </c>
      <c r="AA27" s="52" t="str">
        <f t="shared" si="16"/>
        <v/>
      </c>
      <c r="AB27" s="52" t="str">
        <f t="shared" si="17"/>
        <v/>
      </c>
      <c r="AC27" s="52" t="str">
        <f t="shared" si="18"/>
        <v/>
      </c>
      <c r="AD27" s="52">
        <f t="shared" si="7"/>
        <v>0</v>
      </c>
      <c r="AE27" s="48">
        <f t="shared" si="19"/>
        <v>0</v>
      </c>
      <c r="AF27" s="5" t="str">
        <f t="shared" si="20"/>
        <v>0</v>
      </c>
      <c r="AG27" s="5">
        <f t="shared" si="21"/>
        <v>0</v>
      </c>
      <c r="AH27" s="53" t="str">
        <f t="shared" si="22"/>
        <v>-</v>
      </c>
      <c r="AI27" s="5"/>
      <c r="AJ27" s="5" t="str">
        <f t="shared" si="23"/>
        <v>Propene</v>
      </c>
      <c r="AK27" s="13">
        <f t="shared" si="24"/>
        <v>0</v>
      </c>
      <c r="AL27" s="5">
        <v>0</v>
      </c>
      <c r="AM27" s="121">
        <v>0</v>
      </c>
      <c r="AN27" s="13">
        <f t="shared" si="25"/>
        <v>0</v>
      </c>
      <c r="AO27" s="5" t="str">
        <f t="shared" si="26"/>
        <v/>
      </c>
      <c r="AP27" s="5">
        <f t="shared" si="8"/>
        <v>0</v>
      </c>
      <c r="AQ27" s="12">
        <f t="shared" si="9"/>
        <v>1.9139999999999999</v>
      </c>
      <c r="AR27" s="12">
        <f t="shared" si="27"/>
        <v>1</v>
      </c>
      <c r="AS27" s="12">
        <f t="shared" si="10"/>
        <v>0</v>
      </c>
      <c r="AT27" s="12">
        <f t="shared" si="28"/>
        <v>0</v>
      </c>
      <c r="AU27" s="5">
        <v>10000</v>
      </c>
      <c r="AV27" s="5">
        <f t="shared" si="11"/>
        <v>420500</v>
      </c>
      <c r="AW27" s="13" t="s">
        <v>230</v>
      </c>
      <c r="AX27" s="5"/>
      <c r="AY27" s="5"/>
      <c r="AZ27" s="5"/>
      <c r="BA27" s="5"/>
      <c r="BB27" s="5"/>
      <c r="BC27" s="169"/>
      <c r="BD27" s="170"/>
      <c r="BE27" s="171"/>
      <c r="BF27" s="6"/>
    </row>
    <row r="28" spans="1:65">
      <c r="A28" s="4"/>
      <c r="B28" s="79" t="s">
        <v>85</v>
      </c>
      <c r="C28" s="78" t="s">
        <v>86</v>
      </c>
      <c r="D28" s="24"/>
      <c r="E28" s="25">
        <v>2.927</v>
      </c>
      <c r="F28" s="26">
        <v>64.06</v>
      </c>
      <c r="G28" s="25">
        <v>129.80000000000001</v>
      </c>
      <c r="H28" s="25">
        <v>633</v>
      </c>
      <c r="I28" s="25">
        <v>503</v>
      </c>
      <c r="J28" s="25">
        <f t="shared" si="29"/>
        <v>1.2584493041749503</v>
      </c>
      <c r="K28" s="25">
        <v>11.7</v>
      </c>
      <c r="L28" s="27">
        <f t="shared" si="12"/>
        <v>15.610365282547612</v>
      </c>
      <c r="M28" s="28">
        <v>8.6E-3</v>
      </c>
      <c r="N28" s="28">
        <f t="shared" si="13"/>
        <v>0</v>
      </c>
      <c r="O28" s="25">
        <v>263</v>
      </c>
      <c r="P28" s="25">
        <v>24.9</v>
      </c>
      <c r="Q28" s="29">
        <v>0</v>
      </c>
      <c r="R28" s="50">
        <f t="shared" si="14"/>
        <v>0</v>
      </c>
      <c r="S28" s="51">
        <f t="shared" si="15"/>
        <v>0</v>
      </c>
      <c r="T28" s="52">
        <f t="shared" si="3"/>
        <v>0</v>
      </c>
      <c r="U28" s="52">
        <f t="shared" si="4"/>
        <v>0</v>
      </c>
      <c r="V28" s="52">
        <f t="shared" si="5"/>
        <v>0</v>
      </c>
      <c r="W28" s="59">
        <v>197.69</v>
      </c>
      <c r="X28" s="131">
        <v>1.6500000000000001E-2</v>
      </c>
      <c r="Y28" s="52">
        <f t="shared" si="6"/>
        <v>263</v>
      </c>
      <c r="AA28" s="52" t="str">
        <f t="shared" si="16"/>
        <v/>
      </c>
      <c r="AB28" s="52" t="str">
        <f t="shared" si="17"/>
        <v/>
      </c>
      <c r="AC28" s="52" t="str">
        <f t="shared" si="18"/>
        <v/>
      </c>
      <c r="AD28" s="52">
        <f t="shared" si="7"/>
        <v>0</v>
      </c>
      <c r="AE28" s="48">
        <f t="shared" si="19"/>
        <v>0</v>
      </c>
      <c r="AF28" s="5" t="str">
        <f t="shared" si="20"/>
        <v>0</v>
      </c>
      <c r="AG28" s="5">
        <f t="shared" si="21"/>
        <v>0</v>
      </c>
      <c r="AH28" s="53" t="str">
        <f t="shared" si="22"/>
        <v>-</v>
      </c>
      <c r="AI28" s="5"/>
      <c r="AJ28" s="5" t="str">
        <f t="shared" si="23"/>
        <v>Sulphur Dioxide</v>
      </c>
      <c r="AK28" s="13">
        <f t="shared" si="24"/>
        <v>0</v>
      </c>
      <c r="AL28" s="5">
        <v>1</v>
      </c>
      <c r="AM28" s="121">
        <v>0.01</v>
      </c>
      <c r="AN28" s="13">
        <f t="shared" si="25"/>
        <v>0</v>
      </c>
      <c r="AO28" s="5" t="str">
        <f t="shared" si="26"/>
        <v/>
      </c>
      <c r="AP28" s="5">
        <f t="shared" si="8"/>
        <v>0</v>
      </c>
      <c r="AQ28" s="12">
        <f t="shared" si="9"/>
        <v>2.927</v>
      </c>
      <c r="AR28" s="12">
        <f t="shared" si="27"/>
        <v>1</v>
      </c>
      <c r="AS28" s="12">
        <f t="shared" si="10"/>
        <v>0</v>
      </c>
      <c r="AT28" s="12">
        <f t="shared" si="28"/>
        <v>0</v>
      </c>
      <c r="AU28" s="5">
        <v>10000</v>
      </c>
      <c r="AV28" s="5">
        <f t="shared" si="11"/>
        <v>640600</v>
      </c>
      <c r="AW28" s="13" t="s">
        <v>230</v>
      </c>
      <c r="AX28" s="5"/>
      <c r="AY28" s="5"/>
      <c r="AZ28" s="5"/>
      <c r="BA28" s="5"/>
      <c r="BB28" s="5"/>
      <c r="BC28" s="169"/>
      <c r="BD28" s="170"/>
      <c r="BE28" s="171"/>
      <c r="BF28" s="6"/>
    </row>
    <row r="29" spans="1:65">
      <c r="A29" s="4"/>
      <c r="B29" s="79" t="s">
        <v>87</v>
      </c>
      <c r="C29" s="78" t="s">
        <v>88</v>
      </c>
      <c r="D29" s="24"/>
      <c r="E29" s="25">
        <v>1.5389999999999999</v>
      </c>
      <c r="F29" s="26">
        <v>34.090000000000003</v>
      </c>
      <c r="G29" s="25">
        <v>244.2</v>
      </c>
      <c r="H29" s="25">
        <v>1059</v>
      </c>
      <c r="I29" s="25">
        <v>804</v>
      </c>
      <c r="J29" s="25">
        <f t="shared" si="29"/>
        <v>1.3171641791044777</v>
      </c>
      <c r="K29" s="25">
        <v>11.66</v>
      </c>
      <c r="L29" s="27">
        <f t="shared" si="12"/>
        <v>29.334115576415368</v>
      </c>
      <c r="M29" s="28">
        <v>1.4E-2</v>
      </c>
      <c r="N29" s="28">
        <f t="shared" si="13"/>
        <v>0</v>
      </c>
      <c r="O29" s="25">
        <v>213</v>
      </c>
      <c r="P29" s="25">
        <v>18.600000000000001</v>
      </c>
      <c r="Q29" s="29">
        <v>0</v>
      </c>
      <c r="R29" s="50">
        <f t="shared" si="14"/>
        <v>0</v>
      </c>
      <c r="S29" s="51">
        <f t="shared" si="15"/>
        <v>0</v>
      </c>
      <c r="T29" s="52">
        <f t="shared" si="3"/>
        <v>0</v>
      </c>
      <c r="U29" s="52">
        <f t="shared" si="4"/>
        <v>0</v>
      </c>
      <c r="V29" s="52">
        <f t="shared" si="5"/>
        <v>0</v>
      </c>
      <c r="W29" s="59">
        <v>187.66</v>
      </c>
      <c r="X29" s="130" t="s">
        <v>230</v>
      </c>
      <c r="Y29" s="52">
        <f t="shared" si="6"/>
        <v>213</v>
      </c>
      <c r="AA29" s="52" t="str">
        <f t="shared" si="16"/>
        <v/>
      </c>
      <c r="AB29" s="52" t="str">
        <f t="shared" si="17"/>
        <v/>
      </c>
      <c r="AC29" s="52" t="str">
        <f t="shared" si="18"/>
        <v/>
      </c>
      <c r="AD29" s="52">
        <f t="shared" si="7"/>
        <v>0</v>
      </c>
      <c r="AE29" s="48">
        <f t="shared" si="19"/>
        <v>0</v>
      </c>
      <c r="AF29" s="5" t="str">
        <f t="shared" si="20"/>
        <v>0</v>
      </c>
      <c r="AG29" s="5">
        <f t="shared" si="21"/>
        <v>0</v>
      </c>
      <c r="AH29" s="53" t="str">
        <f t="shared" si="22"/>
        <v>-</v>
      </c>
      <c r="AI29" s="5"/>
      <c r="AJ29" s="5" t="str">
        <f t="shared" si="23"/>
        <v>Sulphur Hydrogen</v>
      </c>
      <c r="AK29" s="13">
        <f t="shared" si="24"/>
        <v>0</v>
      </c>
      <c r="AL29" s="5">
        <v>2</v>
      </c>
      <c r="AM29" s="121">
        <v>0.01</v>
      </c>
      <c r="AN29" s="13">
        <f t="shared" si="25"/>
        <v>0</v>
      </c>
      <c r="AO29" s="5" t="str">
        <f t="shared" si="26"/>
        <v/>
      </c>
      <c r="AP29" s="5">
        <f t="shared" si="8"/>
        <v>0</v>
      </c>
      <c r="AQ29" s="12">
        <f t="shared" si="9"/>
        <v>1.5389999999999999</v>
      </c>
      <c r="AR29" s="12">
        <f t="shared" si="27"/>
        <v>1</v>
      </c>
      <c r="AS29" s="12">
        <f t="shared" si="10"/>
        <v>0</v>
      </c>
      <c r="AT29" s="12">
        <f t="shared" si="28"/>
        <v>0</v>
      </c>
      <c r="AU29" s="5">
        <v>10000</v>
      </c>
      <c r="AV29" s="5">
        <f t="shared" si="11"/>
        <v>340900.00000000006</v>
      </c>
      <c r="AW29" s="13" t="s">
        <v>230</v>
      </c>
      <c r="AX29" s="5"/>
      <c r="AY29" s="5"/>
      <c r="AZ29" s="5"/>
      <c r="BA29" s="5"/>
      <c r="BB29" s="5"/>
      <c r="BC29" s="169"/>
      <c r="BD29" s="170"/>
      <c r="BE29" s="171"/>
      <c r="BF29" s="6"/>
      <c r="BM29" s="120"/>
    </row>
    <row r="30" spans="1:65">
      <c r="A30" s="4"/>
      <c r="B30" s="79" t="s">
        <v>89</v>
      </c>
      <c r="C30" s="78" t="s">
        <v>31</v>
      </c>
      <c r="D30" s="24"/>
      <c r="E30" s="25">
        <v>1.976</v>
      </c>
      <c r="F30" s="26">
        <v>44.01</v>
      </c>
      <c r="G30" s="25">
        <v>189</v>
      </c>
      <c r="H30" s="25">
        <v>837</v>
      </c>
      <c r="I30" s="25">
        <v>653</v>
      </c>
      <c r="J30" s="25">
        <f t="shared" si="29"/>
        <v>1.2817764165390506</v>
      </c>
      <c r="K30" s="25">
        <v>13.7</v>
      </c>
      <c r="L30" s="27">
        <f t="shared" si="12"/>
        <v>22.722108611679165</v>
      </c>
      <c r="M30" s="28">
        <v>1.46E-2</v>
      </c>
      <c r="N30" s="28">
        <f t="shared" si="13"/>
        <v>0</v>
      </c>
      <c r="O30" s="25">
        <v>216.6</v>
      </c>
      <c r="P30" s="25">
        <v>16.5</v>
      </c>
      <c r="Q30" s="29">
        <v>0</v>
      </c>
      <c r="R30" s="50">
        <f>Q30/$Q$34</f>
        <v>0</v>
      </c>
      <c r="S30" s="51">
        <f t="shared" si="15"/>
        <v>0</v>
      </c>
      <c r="T30" s="52">
        <f t="shared" si="3"/>
        <v>0</v>
      </c>
      <c r="U30" s="52">
        <f t="shared" si="4"/>
        <v>0</v>
      </c>
      <c r="V30" s="52">
        <f t="shared" si="5"/>
        <v>0</v>
      </c>
      <c r="W30" s="59">
        <v>216.55</v>
      </c>
      <c r="X30" s="131">
        <v>5.0999999999999996</v>
      </c>
      <c r="Y30" s="52">
        <f>((1/O30)-((8.314*LN($R$39/1))/(P30*1000)))^-1</f>
        <v>216.6</v>
      </c>
      <c r="AA30" s="52" t="str">
        <f t="shared" si="16"/>
        <v/>
      </c>
      <c r="AB30" s="52" t="str">
        <f>IF(R30&gt;0,IF($AB$3&lt;W30,"Solid",IF(Y30&lt;$AB$3,"Gas","Vapor")),"")</f>
        <v/>
      </c>
      <c r="AC30" s="52" t="str">
        <f t="shared" si="18"/>
        <v/>
      </c>
      <c r="AD30" s="52">
        <f t="shared" si="7"/>
        <v>0</v>
      </c>
      <c r="AE30" s="48">
        <f t="shared" si="19"/>
        <v>0</v>
      </c>
      <c r="AF30" s="5" t="str">
        <f t="shared" si="20"/>
        <v>0</v>
      </c>
      <c r="AG30" s="5">
        <f t="shared" si="21"/>
        <v>0</v>
      </c>
      <c r="AH30" s="53" t="str">
        <f t="shared" si="22"/>
        <v>-</v>
      </c>
      <c r="AI30" s="5"/>
      <c r="AJ30" s="5" t="str">
        <f t="shared" si="23"/>
        <v>Carbon Dioxide</v>
      </c>
      <c r="AK30" s="13">
        <f>S30</f>
        <v>0</v>
      </c>
      <c r="AL30" s="5">
        <v>0</v>
      </c>
      <c r="AM30" s="121">
        <v>0</v>
      </c>
      <c r="AN30" s="13">
        <f t="shared" si="25"/>
        <v>0</v>
      </c>
      <c r="AO30" s="5" t="str">
        <f t="shared" si="26"/>
        <v/>
      </c>
      <c r="AP30" s="5">
        <f t="shared" si="8"/>
        <v>0</v>
      </c>
      <c r="AQ30" s="12">
        <f t="shared" si="9"/>
        <v>1.976</v>
      </c>
      <c r="AR30" s="12">
        <f t="shared" si="27"/>
        <v>1</v>
      </c>
      <c r="AS30" s="12">
        <f t="shared" si="10"/>
        <v>0</v>
      </c>
      <c r="AT30" s="12">
        <f t="shared" si="28"/>
        <v>0</v>
      </c>
      <c r="AU30" s="5">
        <v>10000</v>
      </c>
      <c r="AV30" s="5">
        <f t="shared" si="11"/>
        <v>440100</v>
      </c>
      <c r="AW30" s="13" t="s">
        <v>230</v>
      </c>
      <c r="AX30" s="5"/>
      <c r="AY30" s="5"/>
      <c r="AZ30" s="5"/>
      <c r="BA30" s="5"/>
      <c r="BB30" s="5"/>
      <c r="BC30" s="169"/>
      <c r="BD30" s="170"/>
      <c r="BE30" s="171"/>
      <c r="BF30" s="6"/>
    </row>
    <row r="31" spans="1:65">
      <c r="A31" s="4"/>
      <c r="B31" s="79" t="s">
        <v>90</v>
      </c>
      <c r="C31" s="78" t="s">
        <v>7</v>
      </c>
      <c r="D31" s="24"/>
      <c r="E31" s="25">
        <v>1.25</v>
      </c>
      <c r="F31" s="26">
        <v>28.01</v>
      </c>
      <c r="G31" s="25">
        <v>297</v>
      </c>
      <c r="H31" s="25">
        <v>1047</v>
      </c>
      <c r="I31" s="25">
        <v>754</v>
      </c>
      <c r="J31" s="25">
        <f t="shared" si="29"/>
        <v>1.3885941644562334</v>
      </c>
      <c r="K31" s="25">
        <v>16.600000000000001</v>
      </c>
      <c r="L31" s="27">
        <f t="shared" si="12"/>
        <v>35.701535166012135</v>
      </c>
      <c r="M31" s="28">
        <v>2.3199999999999998E-2</v>
      </c>
      <c r="N31" s="28">
        <f t="shared" si="13"/>
        <v>0</v>
      </c>
      <c r="O31" s="25">
        <v>81.599999999999994</v>
      </c>
      <c r="P31" s="25">
        <v>6</v>
      </c>
      <c r="Q31" s="29">
        <v>0</v>
      </c>
      <c r="R31" s="50">
        <f t="shared" si="14"/>
        <v>0</v>
      </c>
      <c r="S31" s="51">
        <f t="shared" si="15"/>
        <v>0</v>
      </c>
      <c r="T31" s="52">
        <f t="shared" si="3"/>
        <v>0</v>
      </c>
      <c r="U31" s="52">
        <f t="shared" si="4"/>
        <v>0</v>
      </c>
      <c r="V31" s="52">
        <f t="shared" si="5"/>
        <v>0</v>
      </c>
      <c r="W31" s="59">
        <v>68.099999999999994</v>
      </c>
      <c r="X31" s="131">
        <v>0.1517</v>
      </c>
      <c r="Y31" s="52">
        <f t="shared" si="6"/>
        <v>81.599999999999994</v>
      </c>
      <c r="AA31" s="52" t="str">
        <f t="shared" si="16"/>
        <v/>
      </c>
      <c r="AB31" s="52" t="str">
        <f t="shared" si="17"/>
        <v/>
      </c>
      <c r="AC31" s="52" t="str">
        <f t="shared" si="18"/>
        <v/>
      </c>
      <c r="AD31" s="52">
        <f t="shared" si="7"/>
        <v>0</v>
      </c>
      <c r="AE31" s="48">
        <f t="shared" si="19"/>
        <v>0</v>
      </c>
      <c r="AF31" s="5" t="str">
        <f t="shared" si="20"/>
        <v>0</v>
      </c>
      <c r="AG31" s="5">
        <f t="shared" si="21"/>
        <v>0</v>
      </c>
      <c r="AH31" s="53" t="str">
        <f t="shared" si="22"/>
        <v>-</v>
      </c>
      <c r="AI31" s="5"/>
      <c r="AJ31" s="5" t="str">
        <f t="shared" si="23"/>
        <v>Carbon Monoxide</v>
      </c>
      <c r="AK31" s="13">
        <f t="shared" si="24"/>
        <v>0</v>
      </c>
      <c r="AL31" s="5">
        <v>2</v>
      </c>
      <c r="AM31" s="121">
        <v>0.01</v>
      </c>
      <c r="AN31" s="13">
        <f t="shared" si="25"/>
        <v>0</v>
      </c>
      <c r="AO31" s="5" t="str">
        <f t="shared" si="26"/>
        <v/>
      </c>
      <c r="AP31" s="5">
        <f t="shared" si="8"/>
        <v>0</v>
      </c>
      <c r="AQ31" s="12">
        <f t="shared" si="9"/>
        <v>1.25</v>
      </c>
      <c r="AR31" s="12">
        <f t="shared" si="27"/>
        <v>0</v>
      </c>
      <c r="AS31" s="12">
        <f t="shared" si="10"/>
        <v>0</v>
      </c>
      <c r="AT31" s="12">
        <f t="shared" si="28"/>
        <v>0</v>
      </c>
      <c r="AU31" s="5">
        <v>10000</v>
      </c>
      <c r="AV31" s="5">
        <f t="shared" si="11"/>
        <v>280100</v>
      </c>
      <c r="AW31" s="13" t="s">
        <v>230</v>
      </c>
      <c r="AX31" s="5"/>
      <c r="AY31" s="5"/>
      <c r="AZ31" s="5"/>
      <c r="BA31" s="5"/>
      <c r="BB31" s="5"/>
      <c r="BC31" s="169"/>
      <c r="BD31" s="170"/>
      <c r="BE31" s="171"/>
      <c r="BF31" s="6"/>
    </row>
    <row r="32" spans="1:65">
      <c r="A32" s="4"/>
      <c r="B32" s="79" t="s">
        <v>12</v>
      </c>
      <c r="C32" s="78" t="s">
        <v>91</v>
      </c>
      <c r="D32" s="24"/>
      <c r="E32" s="25">
        <v>8.9849999999999999E-2</v>
      </c>
      <c r="F32" s="26">
        <v>2.016</v>
      </c>
      <c r="G32" s="25">
        <v>4125</v>
      </c>
      <c r="H32" s="25">
        <v>14266</v>
      </c>
      <c r="I32" s="25">
        <v>10130</v>
      </c>
      <c r="J32" s="25">
        <f t="shared" si="29"/>
        <v>1.4082922013820336</v>
      </c>
      <c r="K32" s="25">
        <v>8.42</v>
      </c>
      <c r="L32" s="27">
        <f t="shared" si="12"/>
        <v>496.03174603174602</v>
      </c>
      <c r="M32" s="28">
        <v>0.16</v>
      </c>
      <c r="N32" s="28">
        <f t="shared" si="13"/>
        <v>0</v>
      </c>
      <c r="O32" s="25">
        <v>20.216999999999999</v>
      </c>
      <c r="P32" s="25">
        <v>0.46</v>
      </c>
      <c r="Q32" s="29">
        <v>0</v>
      </c>
      <c r="R32" s="50">
        <f>Q32/$Q$34</f>
        <v>0</v>
      </c>
      <c r="S32" s="51">
        <f t="shared" si="15"/>
        <v>0</v>
      </c>
      <c r="T32" s="52">
        <f t="shared" si="3"/>
        <v>0</v>
      </c>
      <c r="U32" s="52">
        <f t="shared" si="4"/>
        <v>0</v>
      </c>
      <c r="V32" s="52">
        <f t="shared" si="5"/>
        <v>0</v>
      </c>
      <c r="W32" s="59">
        <v>13.84</v>
      </c>
      <c r="X32" s="130">
        <v>6.9500000000000006E-2</v>
      </c>
      <c r="Y32" s="52">
        <f t="shared" si="6"/>
        <v>20.216999999999999</v>
      </c>
      <c r="AA32" s="52" t="str">
        <f t="shared" si="16"/>
        <v/>
      </c>
      <c r="AB32" s="52" t="str">
        <f t="shared" si="17"/>
        <v/>
      </c>
      <c r="AC32" s="52" t="str">
        <f t="shared" si="18"/>
        <v/>
      </c>
      <c r="AD32" s="52">
        <f t="shared" si="7"/>
        <v>0</v>
      </c>
      <c r="AE32" s="48">
        <f t="shared" si="19"/>
        <v>0</v>
      </c>
      <c r="AF32" s="5" t="str">
        <f t="shared" si="20"/>
        <v>0</v>
      </c>
      <c r="AG32" s="5">
        <f t="shared" si="21"/>
        <v>0</v>
      </c>
      <c r="AH32" s="53" t="str">
        <f t="shared" si="22"/>
        <v>-</v>
      </c>
      <c r="AI32" s="5"/>
      <c r="AJ32" s="5" t="str">
        <f t="shared" si="23"/>
        <v>Hydrogen</v>
      </c>
      <c r="AK32" s="13">
        <f t="shared" si="24"/>
        <v>0</v>
      </c>
      <c r="AL32" s="5">
        <v>0</v>
      </c>
      <c r="AM32" s="121">
        <v>0</v>
      </c>
      <c r="AN32" s="13">
        <f t="shared" si="25"/>
        <v>0</v>
      </c>
      <c r="AO32" s="5" t="str">
        <f t="shared" si="26"/>
        <v/>
      </c>
      <c r="AP32" s="5">
        <f t="shared" si="8"/>
        <v>0</v>
      </c>
      <c r="AQ32" s="12">
        <f t="shared" si="9"/>
        <v>8.9849999999999999E-2</v>
      </c>
      <c r="AR32" s="12">
        <f t="shared" si="27"/>
        <v>0</v>
      </c>
      <c r="AS32" s="12">
        <f t="shared" si="10"/>
        <v>0</v>
      </c>
      <c r="AT32" s="12">
        <f t="shared" si="28"/>
        <v>0</v>
      </c>
      <c r="AU32" s="5">
        <f>IF(R32&gt;0.01,1,9999)</f>
        <v>9999</v>
      </c>
      <c r="AV32" s="5">
        <f t="shared" si="11"/>
        <v>20157.984</v>
      </c>
      <c r="AW32" s="13">
        <v>53</v>
      </c>
      <c r="AX32" s="5"/>
      <c r="AY32" s="5"/>
      <c r="AZ32" s="5"/>
      <c r="BA32" s="5"/>
      <c r="BB32" s="5"/>
      <c r="BC32" s="169"/>
      <c r="BD32" s="170"/>
      <c r="BE32" s="171"/>
      <c r="BF32" s="6"/>
    </row>
    <row r="33" spans="1:58" ht="15.75" thickBot="1">
      <c r="A33" s="4"/>
      <c r="B33" s="77" t="s">
        <v>32</v>
      </c>
      <c r="C33" s="80" t="s">
        <v>92</v>
      </c>
      <c r="D33" s="24"/>
      <c r="E33" s="25">
        <v>0.59</v>
      </c>
      <c r="F33" s="26">
        <v>18.02</v>
      </c>
      <c r="G33" s="25">
        <v>461.5</v>
      </c>
      <c r="H33" s="25">
        <v>1000</v>
      </c>
      <c r="I33" s="25" t="s">
        <v>68</v>
      </c>
      <c r="J33" s="25">
        <v>1.32</v>
      </c>
      <c r="K33" s="25" t="s">
        <v>68</v>
      </c>
      <c r="L33" s="27">
        <f>(F33^-1)*1000</f>
        <v>55.493895671476139</v>
      </c>
      <c r="M33" s="28">
        <v>1.6E-2</v>
      </c>
      <c r="N33" s="28">
        <f t="shared" si="13"/>
        <v>0</v>
      </c>
      <c r="O33" s="25">
        <v>373.15</v>
      </c>
      <c r="P33" s="25">
        <v>40.68</v>
      </c>
      <c r="Q33" s="29">
        <v>171</v>
      </c>
      <c r="R33" s="50">
        <f>Q33/$Q$34</f>
        <v>1.4977664885696768E-2</v>
      </c>
      <c r="S33" s="51">
        <f t="shared" si="15"/>
        <v>1.5172374529210826</v>
      </c>
      <c r="T33" s="52">
        <f t="shared" si="3"/>
        <v>0.26989752124025573</v>
      </c>
      <c r="U33" s="52">
        <f t="shared" si="4"/>
        <v>124.55770605237802</v>
      </c>
      <c r="V33" s="52">
        <f t="shared" si="5"/>
        <v>1.9770517649119735E-2</v>
      </c>
      <c r="W33" s="52">
        <v>273.16000000000003</v>
      </c>
      <c r="X33" s="131"/>
      <c r="Y33" s="52">
        <f t="shared" si="6"/>
        <v>373.15</v>
      </c>
      <c r="AA33" s="52" t="str">
        <f t="shared" si="16"/>
        <v>Solid</v>
      </c>
      <c r="AB33" s="52" t="str">
        <f t="shared" si="17"/>
        <v>Vapor</v>
      </c>
      <c r="AC33" s="52" t="str">
        <f t="shared" si="18"/>
        <v>Vapor</v>
      </c>
      <c r="AD33" s="52">
        <f t="shared" si="7"/>
        <v>1</v>
      </c>
      <c r="AE33" s="48">
        <f t="shared" si="19"/>
        <v>0</v>
      </c>
      <c r="AF33" s="5" t="str">
        <f t="shared" si="20"/>
        <v>SolidVaporVapor0</v>
      </c>
      <c r="AG33" s="5">
        <f t="shared" si="21"/>
        <v>3</v>
      </c>
      <c r="AH33" s="53" t="str">
        <f t="shared" si="22"/>
        <v>Cloudshaping liquid with rain or snow</v>
      </c>
      <c r="AI33" s="5"/>
      <c r="AJ33" s="5" t="str">
        <f t="shared" si="23"/>
        <v>Water</v>
      </c>
      <c r="AK33" s="13">
        <f t="shared" si="24"/>
        <v>1.5172374529210826</v>
      </c>
      <c r="AL33" s="5">
        <v>0</v>
      </c>
      <c r="AM33" s="121">
        <v>0</v>
      </c>
      <c r="AN33" s="13">
        <f t="shared" si="25"/>
        <v>0</v>
      </c>
      <c r="AO33" s="5" t="str">
        <f t="shared" si="26"/>
        <v/>
      </c>
      <c r="AP33" s="5">
        <f t="shared" si="8"/>
        <v>0</v>
      </c>
      <c r="AQ33" s="12">
        <f t="shared" si="9"/>
        <v>0.59</v>
      </c>
      <c r="AR33" s="12">
        <f t="shared" ref="AR33" si="32">IF(AQ33&gt;$AQ$18,1,0)</f>
        <v>0</v>
      </c>
      <c r="AS33" s="12">
        <f t="shared" si="10"/>
        <v>0</v>
      </c>
      <c r="AT33" s="12">
        <f t="shared" ref="AT33" si="33">AR33*AS33</f>
        <v>0</v>
      </c>
      <c r="AU33" s="5">
        <v>10000</v>
      </c>
      <c r="AV33" s="5">
        <f t="shared" si="11"/>
        <v>180200</v>
      </c>
      <c r="AW33" s="13" t="s">
        <v>230</v>
      </c>
      <c r="AX33" s="5"/>
      <c r="AY33" s="5"/>
      <c r="AZ33" s="5"/>
      <c r="BA33" s="5"/>
      <c r="BB33" s="5"/>
      <c r="BC33" s="7"/>
      <c r="BD33" s="8"/>
      <c r="BE33" s="9"/>
      <c r="BF33" s="6"/>
    </row>
    <row r="34" spans="1:58">
      <c r="A34" s="4"/>
      <c r="B34" s="141" t="s">
        <v>261</v>
      </c>
      <c r="C34" s="142"/>
      <c r="D34" s="44"/>
      <c r="E34" s="44"/>
      <c r="F34" s="44"/>
      <c r="G34" s="22"/>
      <c r="H34" s="22"/>
      <c r="I34" s="22"/>
      <c r="J34" s="22"/>
      <c r="K34" s="22" t="s">
        <v>93</v>
      </c>
      <c r="L34" s="22"/>
      <c r="M34" s="22"/>
      <c r="N34" s="22"/>
      <c r="O34" s="22"/>
      <c r="P34" s="22"/>
      <c r="Q34" s="143">
        <f>SUM(Q4:Q33)</f>
        <v>11417</v>
      </c>
      <c r="R34" s="44"/>
      <c r="S34" s="44"/>
      <c r="T34" s="44">
        <f>SUM(T4:T33)</f>
        <v>28.973803976526238</v>
      </c>
      <c r="U34" s="44">
        <f>SUM(U4:U33)</f>
        <v>8314.5460683191723</v>
      </c>
      <c r="V34" s="44">
        <f>SUM(V4:V33)</f>
        <v>1.4042622246540681</v>
      </c>
      <c r="W34" s="44"/>
      <c r="X34" s="44"/>
      <c r="Y34" s="44"/>
      <c r="Z34" s="44"/>
      <c r="AA34" s="44"/>
      <c r="AB34" s="44"/>
      <c r="AC34" s="44"/>
      <c r="AD34" s="44"/>
      <c r="AE34" s="44"/>
      <c r="AF34" s="52"/>
      <c r="AG34" s="52"/>
      <c r="AH34" s="45"/>
      <c r="AI34" s="5"/>
      <c r="AJ34" s="5" t="str">
        <f t="shared" si="23"/>
        <v>Measurements</v>
      </c>
      <c r="AK34" s="5"/>
      <c r="AL34" s="109" t="s">
        <v>184</v>
      </c>
      <c r="AM34" s="109"/>
      <c r="AN34" s="109"/>
      <c r="AO34" s="109"/>
      <c r="AP34" s="5">
        <f>MAX(AP4:AP33)</f>
        <v>0</v>
      </c>
      <c r="AQ34" s="5"/>
      <c r="AR34" s="5"/>
      <c r="AS34" s="5"/>
      <c r="AT34" s="5"/>
      <c r="AU34" s="5"/>
      <c r="AV34" s="5">
        <f>MIN(AV4:AV33)</f>
        <v>28.02</v>
      </c>
      <c r="AW34" s="5"/>
      <c r="AX34" s="5"/>
      <c r="AY34" s="5"/>
      <c r="AZ34" s="5"/>
      <c r="BA34" s="5"/>
      <c r="BB34" s="5"/>
      <c r="BC34" s="92" t="s">
        <v>271</v>
      </c>
      <c r="BD34" s="2"/>
      <c r="BE34" s="3"/>
      <c r="BF34" s="6"/>
    </row>
    <row r="35" spans="1:58">
      <c r="A35" s="4"/>
      <c r="B35" s="126" t="s">
        <v>154</v>
      </c>
      <c r="C35" s="64"/>
      <c r="D35" s="52"/>
      <c r="E35" s="52"/>
      <c r="F35" s="52"/>
      <c r="G35" s="29"/>
      <c r="H35" s="29"/>
      <c r="I35" s="29"/>
      <c r="J35" s="29"/>
      <c r="K35" s="29"/>
      <c r="L35" s="29"/>
      <c r="M35" s="29"/>
      <c r="N35" s="29"/>
      <c r="O35" s="29"/>
      <c r="P35" s="32" t="s">
        <v>134</v>
      </c>
      <c r="Q35" s="33">
        <f>SUMIF(AB4:AB33,"Gas",Q4:Q33)</f>
        <v>11246</v>
      </c>
      <c r="R35" s="14">
        <v>1</v>
      </c>
      <c r="S35" s="29"/>
      <c r="T35" s="29"/>
      <c r="U35" s="29"/>
      <c r="V35" s="29"/>
      <c r="W35" s="29"/>
      <c r="X35" s="29"/>
      <c r="Y35" s="29"/>
      <c r="Z35" s="34">
        <f>IF(AH35="Km",R35,R35/Z40)</f>
        <v>149597870.75076672</v>
      </c>
      <c r="AA35" s="31" t="s">
        <v>25</v>
      </c>
      <c r="AB35" s="29"/>
      <c r="AC35" s="29"/>
      <c r="AD35" s="29"/>
      <c r="AE35" s="29"/>
      <c r="AF35" s="29"/>
      <c r="AG35" s="29"/>
      <c r="AH35" s="31" t="s">
        <v>147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 t="str">
        <f>INDEX(AJ4:AV33,MATCH(AV34,AV4:AV33,0),1)</f>
        <v>Nitrogen</v>
      </c>
      <c r="AW35" s="5"/>
      <c r="AX35" s="5"/>
      <c r="AY35" s="5"/>
      <c r="AZ35" s="5"/>
      <c r="BA35" s="5"/>
      <c r="BB35" s="5"/>
      <c r="BC35" s="118" t="str">
        <f>B65&amp;":  "</f>
        <v xml:space="preserve">Perfect match:  </v>
      </c>
      <c r="BD35" s="119" t="str">
        <f>C65</f>
        <v>Yes</v>
      </c>
      <c r="BE35" s="6"/>
      <c r="BF35" s="6"/>
    </row>
    <row r="36" spans="1:58">
      <c r="A36" s="4"/>
      <c r="B36" s="126" t="s">
        <v>155</v>
      </c>
      <c r="C36" s="64"/>
      <c r="D36" s="52"/>
      <c r="E36" s="52"/>
      <c r="F36" s="52"/>
      <c r="G36" s="29" t="s">
        <v>159</v>
      </c>
      <c r="H36" s="29">
        <f>SUMPRODUCT(H4:H33,R4:R33)</f>
        <v>1011.5739686432512</v>
      </c>
      <c r="I36" s="23" t="s">
        <v>54</v>
      </c>
      <c r="J36" s="29"/>
      <c r="K36" s="29"/>
      <c r="L36" s="29"/>
      <c r="M36" s="29"/>
      <c r="N36" s="29"/>
      <c r="O36" s="29"/>
      <c r="P36" s="29"/>
      <c r="Q36" s="25"/>
      <c r="R36" s="14">
        <v>5770</v>
      </c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53" t="s">
        <v>26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 t="s">
        <v>231</v>
      </c>
      <c r="AW36" s="5">
        <f>INDEX(AJ4:AW33,MATCH(AV34,AV4:AV33,0),11)</f>
        <v>0</v>
      </c>
      <c r="AX36" s="5"/>
      <c r="AY36" s="5"/>
      <c r="AZ36" s="5" t="s">
        <v>251</v>
      </c>
      <c r="BA36" s="5"/>
      <c r="BB36" s="5"/>
      <c r="BC36" s="4"/>
      <c r="BD36" s="5"/>
      <c r="BE36" s="6"/>
      <c r="BF36" s="6"/>
    </row>
    <row r="37" spans="1:58">
      <c r="A37" s="4"/>
      <c r="B37" s="126" t="s">
        <v>156</v>
      </c>
      <c r="C37" s="64"/>
      <c r="D37" s="52"/>
      <c r="E37" s="52"/>
      <c r="F37" s="52"/>
      <c r="G37" s="29" t="s">
        <v>161</v>
      </c>
      <c r="H37" s="29">
        <f>SUMPRODUCT(M4:M33,R4:R33)</f>
        <v>2.3761907681527552E-2</v>
      </c>
      <c r="I37" s="29"/>
      <c r="J37" s="29"/>
      <c r="K37" s="29"/>
      <c r="L37" s="29"/>
      <c r="M37" s="29" t="s">
        <v>163</v>
      </c>
      <c r="N37" s="29"/>
      <c r="O37" s="32" t="s">
        <v>135</v>
      </c>
      <c r="P37" s="35">
        <f>SUM(N4:N33)/Q35</f>
        <v>2.3879930642006046E-2</v>
      </c>
      <c r="Q37" s="25"/>
      <c r="R37" s="14">
        <v>1400000</v>
      </c>
      <c r="S37" s="29"/>
      <c r="T37" s="29"/>
      <c r="U37" s="29"/>
      <c r="V37" s="29"/>
      <c r="W37" s="29"/>
      <c r="X37" s="29"/>
      <c r="Y37" s="29"/>
      <c r="Z37" s="29"/>
      <c r="AA37" s="31"/>
      <c r="AB37" s="29"/>
      <c r="AC37" s="29"/>
      <c r="AD37" s="29"/>
      <c r="AE37" s="29"/>
      <c r="AF37" s="29"/>
      <c r="AG37" s="29"/>
      <c r="AH37" s="53" t="s">
        <v>25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 t="s">
        <v>232</v>
      </c>
      <c r="AW37" s="5">
        <f>(PI()*((2*AW36)^2))*1E-24</f>
        <v>0</v>
      </c>
      <c r="AX37" s="5"/>
      <c r="AY37" s="5"/>
      <c r="AZ37" s="5"/>
      <c r="BA37" s="5"/>
      <c r="BB37" s="5"/>
      <c r="BC37" s="127" t="str">
        <f>C67</f>
        <v>This atmosphere has no known toxic elements</v>
      </c>
      <c r="BD37" s="128"/>
      <c r="BE37" s="129"/>
      <c r="BF37" s="6"/>
    </row>
    <row r="38" spans="1:58">
      <c r="A38" s="4"/>
      <c r="B38" s="126" t="s">
        <v>233</v>
      </c>
      <c r="C38" s="64"/>
      <c r="D38" s="52"/>
      <c r="E38" s="52"/>
      <c r="F38" s="52"/>
      <c r="G38" s="29"/>
      <c r="H38" s="29"/>
      <c r="I38" s="29"/>
      <c r="J38" s="29"/>
      <c r="K38" s="29"/>
      <c r="L38" s="29"/>
      <c r="M38" s="29"/>
      <c r="N38" s="29"/>
      <c r="O38" s="32"/>
      <c r="P38" s="35"/>
      <c r="Q38" s="25"/>
      <c r="R38" s="14">
        <v>1230</v>
      </c>
      <c r="S38" s="29"/>
      <c r="T38" s="29">
        <f>R38+273.15</f>
        <v>1503.15</v>
      </c>
      <c r="U38" s="29" t="s">
        <v>102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53" t="s">
        <v>262</v>
      </c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 t="s">
        <v>237</v>
      </c>
      <c r="AW38" s="5">
        <f>(INDEX(B4:F33,MATCH(AV35,B4:B33,0),5))/1000</f>
        <v>2.802E-2</v>
      </c>
      <c r="AX38" s="5" t="s">
        <v>248</v>
      </c>
      <c r="AY38" s="5"/>
      <c r="AZ38" s="5"/>
      <c r="BA38" s="5"/>
      <c r="BB38" s="5"/>
      <c r="BC38" s="127" t="str">
        <f>C68</f>
        <v>This atmosphere contains no hallucinogenic gases</v>
      </c>
      <c r="BD38" s="128"/>
      <c r="BE38" s="129"/>
      <c r="BF38" s="6"/>
    </row>
    <row r="39" spans="1:58">
      <c r="A39" s="4"/>
      <c r="B39" s="68" t="s">
        <v>94</v>
      </c>
      <c r="C39" s="64"/>
      <c r="D39" s="52"/>
      <c r="E39" s="52"/>
      <c r="F39" s="52"/>
      <c r="G39" s="29" t="s">
        <v>160</v>
      </c>
      <c r="H39" s="29">
        <f>(H36*H37*R58)^(1/2)</f>
        <v>5.4365934465391721</v>
      </c>
      <c r="I39" s="29"/>
      <c r="J39" s="29" t="s">
        <v>162</v>
      </c>
      <c r="K39" s="29">
        <f>H39^-1</f>
        <v>0.18393871269454223</v>
      </c>
      <c r="L39" s="36" t="s">
        <v>164</v>
      </c>
      <c r="M39" s="29">
        <f>P70</f>
        <v>9.3518197031152681</v>
      </c>
      <c r="N39" s="29" t="s">
        <v>26</v>
      </c>
      <c r="O39" s="29"/>
      <c r="P39" s="29"/>
      <c r="Q39" s="29"/>
      <c r="R39" s="14">
        <v>1</v>
      </c>
      <c r="S39" s="15"/>
      <c r="T39" s="29">
        <f>101325*R39</f>
        <v>101325</v>
      </c>
      <c r="U39" s="29" t="s">
        <v>95</v>
      </c>
      <c r="V39" s="29" t="s">
        <v>96</v>
      </c>
      <c r="W39" s="29"/>
      <c r="X39" s="29"/>
      <c r="Y39" s="29"/>
      <c r="Z39" s="29" t="s">
        <v>146</v>
      </c>
      <c r="AA39" s="29"/>
      <c r="AB39" s="29"/>
      <c r="AC39" s="29"/>
      <c r="AD39" s="29"/>
      <c r="AE39" s="29"/>
      <c r="AF39" s="29"/>
      <c r="AG39" s="29"/>
      <c r="AH39" s="53" t="s">
        <v>97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121" t="s">
        <v>249</v>
      </c>
      <c r="AW39" s="5">
        <v>8.3144597999999998</v>
      </c>
      <c r="AX39" s="5"/>
      <c r="AY39" s="5"/>
      <c r="AZ39" s="5"/>
      <c r="BA39" s="5"/>
      <c r="BB39" s="5"/>
      <c r="BC39" s="127" t="str">
        <f>C69</f>
        <v>Oxygenlevel ok</v>
      </c>
      <c r="BD39" s="128"/>
      <c r="BE39" s="129"/>
      <c r="BF39" s="6"/>
    </row>
    <row r="40" spans="1:58">
      <c r="A40" s="4"/>
      <c r="B40" s="68" t="s">
        <v>98</v>
      </c>
      <c r="C40" s="64"/>
      <c r="D40" s="52"/>
      <c r="E40" s="52"/>
      <c r="F40" s="52"/>
      <c r="G40" s="29"/>
      <c r="H40" s="29"/>
      <c r="I40" s="29"/>
      <c r="J40" s="29"/>
      <c r="K40" s="29"/>
      <c r="L40" s="32" t="s">
        <v>215</v>
      </c>
      <c r="M40" s="29">
        <f>IF(T40-M39&lt;3,269.15,M39)</f>
        <v>9.3518197031152681</v>
      </c>
      <c r="N40" s="29" t="s">
        <v>26</v>
      </c>
      <c r="O40" s="29"/>
      <c r="P40" s="29"/>
      <c r="Q40" s="29"/>
      <c r="R40" s="14">
        <v>14</v>
      </c>
      <c r="S40" s="15"/>
      <c r="T40" s="29">
        <f>R40+273.15</f>
        <v>287.14999999999998</v>
      </c>
      <c r="U40" s="29" t="s">
        <v>102</v>
      </c>
      <c r="V40" s="29">
        <f>((V34*8.314*T40)/(R51/1000))^(1/2)</f>
        <v>340.15806178674342</v>
      </c>
      <c r="W40" s="29"/>
      <c r="X40" s="29"/>
      <c r="Y40" s="29"/>
      <c r="Z40" s="39">
        <v>6.6845871200000004E-9</v>
      </c>
      <c r="AA40" s="29"/>
      <c r="AB40" s="29"/>
      <c r="AC40" s="29"/>
      <c r="AD40" s="29"/>
      <c r="AE40" s="29"/>
      <c r="AF40" s="29"/>
      <c r="AG40" s="29"/>
      <c r="AH40" s="53" t="s">
        <v>103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 t="s">
        <v>250</v>
      </c>
      <c r="AV40" s="5" t="s">
        <v>234</v>
      </c>
      <c r="AW40" s="5" t="e">
        <f>1/AW37</f>
        <v>#DIV/0!</v>
      </c>
      <c r="AX40" s="5" t="s">
        <v>235</v>
      </c>
      <c r="AY40" s="5"/>
      <c r="AZ40" s="5"/>
      <c r="BA40" s="5"/>
      <c r="BB40" s="5"/>
      <c r="BC40" s="127" t="str">
        <f>C70</f>
        <v>Temperature ok</v>
      </c>
      <c r="BD40" s="128"/>
      <c r="BE40" s="129"/>
      <c r="BF40" s="6"/>
    </row>
    <row r="41" spans="1:58">
      <c r="A41" s="4"/>
      <c r="B41" s="69" t="s">
        <v>138</v>
      </c>
      <c r="C41" s="64"/>
      <c r="D41" s="52"/>
      <c r="E41" s="52"/>
      <c r="F41" s="52"/>
      <c r="G41" s="29" t="s">
        <v>99</v>
      </c>
      <c r="H41" s="29"/>
      <c r="I41" s="29" t="s">
        <v>100</v>
      </c>
      <c r="J41" s="29"/>
      <c r="K41" s="29" t="s">
        <v>101</v>
      </c>
      <c r="L41" s="37" t="s">
        <v>165</v>
      </c>
      <c r="M41" s="29">
        <f>IF(M40&gt;R49,R49,M40)</f>
        <v>9.3518197031152681</v>
      </c>
      <c r="N41" s="34" t="s">
        <v>26</v>
      </c>
      <c r="O41" s="34" t="s">
        <v>217</v>
      </c>
      <c r="P41" s="29"/>
      <c r="Q41" s="29"/>
      <c r="R41" s="14">
        <v>0.32</v>
      </c>
      <c r="S41" s="15"/>
      <c r="T41" s="29"/>
      <c r="U41" s="29"/>
      <c r="V41" s="29"/>
      <c r="W41" s="29"/>
      <c r="X41" s="29"/>
      <c r="Y41" s="29"/>
      <c r="Z41" s="29">
        <v>6000000</v>
      </c>
      <c r="AA41" s="29" t="s">
        <v>110</v>
      </c>
      <c r="AB41" s="29"/>
      <c r="AC41" s="29"/>
      <c r="AD41" s="29"/>
      <c r="AE41" s="29"/>
      <c r="AF41" s="29"/>
      <c r="AG41" s="29"/>
      <c r="AH41" s="53" t="s">
        <v>139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93">
        <f>T38</f>
        <v>1503.15</v>
      </c>
      <c r="AV41" s="5" t="s">
        <v>236</v>
      </c>
      <c r="AW41" s="5">
        <f>((3*AU41*AW39)/AW38)^(1/2)</f>
        <v>1156.763938890726</v>
      </c>
      <c r="AX41" s="5" t="s">
        <v>106</v>
      </c>
      <c r="AY41" s="5"/>
      <c r="AZ41" s="5"/>
      <c r="BA41" s="5"/>
      <c r="BB41" s="5"/>
      <c r="BC41" s="4" t="str">
        <f>AW57</f>
        <v>Atmosphere is likely to be thermokinetic stable</v>
      </c>
      <c r="BD41" s="128"/>
      <c r="BE41" s="129"/>
      <c r="BF41" s="6"/>
    </row>
    <row r="42" spans="1:58" ht="15.75">
      <c r="A42" s="4"/>
      <c r="B42" s="68" t="s">
        <v>104</v>
      </c>
      <c r="C42" s="64"/>
      <c r="D42" s="52"/>
      <c r="E42" s="52" t="s">
        <v>105</v>
      </c>
      <c r="F42" s="52">
        <f>R47/2</f>
        <v>6350</v>
      </c>
      <c r="G42" s="38">
        <v>8.3144597999999998</v>
      </c>
      <c r="H42" s="29"/>
      <c r="I42" s="39">
        <v>5.9721900000000004E+24</v>
      </c>
      <c r="J42" s="29"/>
      <c r="K42" s="39">
        <v>5.15E+18</v>
      </c>
      <c r="L42" s="39" t="s">
        <v>201</v>
      </c>
      <c r="M42" s="40">
        <f>R44</f>
        <v>1</v>
      </c>
      <c r="N42" s="39" t="s">
        <v>203</v>
      </c>
      <c r="O42" s="29">
        <f>IF(M47&lt;0,1,-1)</f>
        <v>1</v>
      </c>
      <c r="P42" s="29"/>
      <c r="Q42" s="29"/>
      <c r="R42" s="14">
        <v>1</v>
      </c>
      <c r="S42" s="15"/>
      <c r="T42" s="29">
        <f>R42*9.80665</f>
        <v>9.8066499999999994</v>
      </c>
      <c r="U42" s="29" t="s">
        <v>1</v>
      </c>
      <c r="V42" s="29" t="s">
        <v>106</v>
      </c>
      <c r="W42" s="29"/>
      <c r="X42" s="29"/>
      <c r="Y42" s="29"/>
      <c r="Z42" s="30">
        <f>Z41*Z40</f>
        <v>4.0107522720000004E-2</v>
      </c>
      <c r="AA42" s="29" t="s">
        <v>147</v>
      </c>
      <c r="AB42" s="29"/>
      <c r="AC42" s="29"/>
      <c r="AD42" s="29"/>
      <c r="AE42" s="29"/>
      <c r="AF42" s="29"/>
      <c r="AG42" s="29"/>
      <c r="AH42" s="53" t="s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 t="s">
        <v>238</v>
      </c>
      <c r="AW42" s="5">
        <f>T42</f>
        <v>9.8066499999999994</v>
      </c>
      <c r="AX42" s="5" t="s">
        <v>1</v>
      </c>
      <c r="AY42" s="5"/>
      <c r="AZ42" s="5"/>
      <c r="BA42" s="5"/>
      <c r="BB42" s="5"/>
      <c r="BC42" s="4" t="str">
        <f>AC59</f>
        <v>Gravity level is comfortable</v>
      </c>
      <c r="BD42" s="5"/>
      <c r="BE42" s="6"/>
      <c r="BF42" s="6"/>
    </row>
    <row r="43" spans="1:58" ht="15.75">
      <c r="A43" s="4"/>
      <c r="B43" s="68" t="s">
        <v>206</v>
      </c>
      <c r="C43" s="64"/>
      <c r="D43" s="52"/>
      <c r="E43" s="52"/>
      <c r="F43" s="52"/>
      <c r="G43" s="38" t="s">
        <v>226</v>
      </c>
      <c r="H43" s="29"/>
      <c r="I43" s="39"/>
      <c r="J43" s="29"/>
      <c r="K43" s="39"/>
      <c r="L43" s="29"/>
      <c r="M43" s="29">
        <f>IFERROR(ABS(((R43/M42-1)^-1)*(R43/M42)),100000000)</f>
        <v>1.0027453671928621</v>
      </c>
      <c r="N43" s="34" t="s">
        <v>207</v>
      </c>
      <c r="O43" s="29"/>
      <c r="P43" s="29"/>
      <c r="Q43" s="29"/>
      <c r="R43" s="16">
        <v>365.25</v>
      </c>
      <c r="S43" s="15"/>
      <c r="T43" s="29"/>
      <c r="U43" s="29"/>
      <c r="V43" s="29"/>
      <c r="W43" s="29"/>
      <c r="X43" s="29"/>
      <c r="Y43" s="29"/>
      <c r="Z43" s="30"/>
      <c r="AA43" s="29"/>
      <c r="AB43" s="29"/>
      <c r="AC43" s="29"/>
      <c r="AD43" s="29"/>
      <c r="AE43" s="29"/>
      <c r="AF43" s="29"/>
      <c r="AG43" s="29"/>
      <c r="AH43" s="53" t="s">
        <v>204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 t="s">
        <v>239</v>
      </c>
      <c r="AW43" s="110">
        <f>G44</f>
        <v>1.3806485199999999E-23</v>
      </c>
      <c r="AX43" s="5"/>
      <c r="AY43" s="5"/>
      <c r="AZ43" s="5"/>
      <c r="BA43" s="5"/>
      <c r="BB43" s="5"/>
      <c r="BC43" s="4" t="str">
        <f>AL100</f>
        <v>-</v>
      </c>
      <c r="BD43" s="5"/>
      <c r="BE43" s="6"/>
      <c r="BF43" s="6"/>
    </row>
    <row r="44" spans="1:58" ht="15.75">
      <c r="A44" s="4"/>
      <c r="B44" s="68" t="s">
        <v>205</v>
      </c>
      <c r="C44" s="64"/>
      <c r="D44" s="52"/>
      <c r="E44" s="52"/>
      <c r="F44" s="52"/>
      <c r="G44" s="82">
        <v>1.3806485199999999E-23</v>
      </c>
      <c r="H44" s="29"/>
      <c r="I44" s="39"/>
      <c r="J44" s="29"/>
      <c r="K44" s="39"/>
      <c r="L44" s="40" t="s">
        <v>202</v>
      </c>
      <c r="M44" s="40">
        <f>ABS(IFERROR((R43*R44*O42)/(R43-R44*O42),1000000))</f>
        <v>1.0027453671928621</v>
      </c>
      <c r="N44" s="40" t="s">
        <v>203</v>
      </c>
      <c r="O44" s="29" t="s">
        <v>199</v>
      </c>
      <c r="P44" s="29"/>
      <c r="Q44" s="29"/>
      <c r="R44" s="16">
        <v>1</v>
      </c>
      <c r="S44" s="15"/>
      <c r="T44" s="29"/>
      <c r="U44" s="29"/>
      <c r="V44" s="29"/>
      <c r="W44" s="29"/>
      <c r="X44" s="29"/>
      <c r="Y44" s="29"/>
      <c r="Z44" s="30"/>
      <c r="AA44" s="29"/>
      <c r="AB44" s="29"/>
      <c r="AC44" s="29"/>
      <c r="AD44" s="29"/>
      <c r="AE44" s="29"/>
      <c r="AF44" s="29"/>
      <c r="AG44" s="29"/>
      <c r="AH44" s="53" t="s">
        <v>204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 t="s">
        <v>243</v>
      </c>
      <c r="AW44" s="110">
        <f>K49</f>
        <v>6.6740800000000003E-11</v>
      </c>
      <c r="AX44" s="5"/>
      <c r="AY44" s="5"/>
      <c r="AZ44" s="5"/>
      <c r="BA44" s="5"/>
      <c r="BB44" s="5"/>
      <c r="BC44" s="127" t="str">
        <f>C71</f>
        <v>-</v>
      </c>
      <c r="BD44" s="5"/>
      <c r="BE44" s="6"/>
      <c r="BF44" s="6"/>
    </row>
    <row r="45" spans="1:58" ht="15.75">
      <c r="A45" s="4"/>
      <c r="B45" s="68" t="s">
        <v>210</v>
      </c>
      <c r="C45" s="64"/>
      <c r="D45" s="52"/>
      <c r="E45" s="52"/>
      <c r="F45" s="52"/>
      <c r="G45" s="38"/>
      <c r="H45" s="29"/>
      <c r="I45" s="39"/>
      <c r="J45" s="29"/>
      <c r="K45" s="39"/>
      <c r="L45" s="29" t="s">
        <v>213</v>
      </c>
      <c r="M45" s="29">
        <f>RADIANS(R45)</f>
        <v>0.4014257279586958</v>
      </c>
      <c r="N45" s="41" t="s">
        <v>216</v>
      </c>
      <c r="O45" s="29"/>
      <c r="P45" s="32"/>
      <c r="Q45" s="29"/>
      <c r="R45" s="21">
        <v>23</v>
      </c>
      <c r="S45" s="15"/>
      <c r="T45" s="29"/>
      <c r="U45" s="29"/>
      <c r="V45" s="29"/>
      <c r="W45" s="29"/>
      <c r="X45" s="29"/>
      <c r="Y45" s="29"/>
      <c r="Z45" s="30"/>
      <c r="AA45" s="29"/>
      <c r="AB45" s="29"/>
      <c r="AC45" s="29"/>
      <c r="AD45" s="29"/>
      <c r="AE45" s="29"/>
      <c r="AF45" s="29"/>
      <c r="AG45" s="29"/>
      <c r="AH45" s="53" t="s">
        <v>211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 t="s">
        <v>220</v>
      </c>
      <c r="AW45" s="110">
        <f>K50</f>
        <v>5.9329068575743771E+24</v>
      </c>
      <c r="AX45" s="5"/>
      <c r="AY45" s="5"/>
      <c r="AZ45" s="5"/>
      <c r="BA45" s="5"/>
      <c r="BB45" s="5"/>
      <c r="BC45" s="4"/>
      <c r="BD45" s="5"/>
      <c r="BE45" s="6"/>
      <c r="BF45" s="6"/>
    </row>
    <row r="46" spans="1:58" ht="15.75">
      <c r="A46" s="4"/>
      <c r="B46" s="69" t="s">
        <v>278</v>
      </c>
      <c r="C46" s="64"/>
      <c r="D46" s="52"/>
      <c r="E46" s="52"/>
      <c r="F46" s="52"/>
      <c r="G46" s="38"/>
      <c r="H46" s="29"/>
      <c r="I46" s="39"/>
      <c r="J46" s="29"/>
      <c r="K46" s="39"/>
      <c r="L46" s="29"/>
      <c r="M46" s="29"/>
      <c r="N46" s="41"/>
      <c r="O46" s="29"/>
      <c r="P46" s="32"/>
      <c r="Q46" s="29"/>
      <c r="R46" s="21">
        <v>1.4E-2</v>
      </c>
      <c r="S46" s="15"/>
      <c r="T46" s="29"/>
      <c r="U46" s="29"/>
      <c r="V46" s="29"/>
      <c r="W46" s="29"/>
      <c r="X46" s="29"/>
      <c r="Y46" s="29"/>
      <c r="Z46" s="30"/>
      <c r="AA46" s="29"/>
      <c r="AB46" s="29"/>
      <c r="AC46" s="29"/>
      <c r="AD46" s="29"/>
      <c r="AE46" s="29"/>
      <c r="AF46" s="29"/>
      <c r="AG46" s="29"/>
      <c r="AH46" s="53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110"/>
      <c r="AX46" s="5"/>
      <c r="AY46" s="5"/>
      <c r="AZ46" s="5"/>
      <c r="BA46" s="5"/>
      <c r="BB46" s="5"/>
      <c r="BC46" s="4"/>
      <c r="BD46" s="5"/>
      <c r="BE46" s="6"/>
      <c r="BF46" s="6"/>
    </row>
    <row r="47" spans="1:58" ht="16.5" thickBot="1">
      <c r="A47" s="4"/>
      <c r="B47" s="94" t="s">
        <v>107</v>
      </c>
      <c r="C47" s="95"/>
      <c r="D47" s="66"/>
      <c r="E47" s="66" t="s">
        <v>108</v>
      </c>
      <c r="F47" s="96">
        <f>F42+R59</f>
        <v>6358.4026575712069</v>
      </c>
      <c r="G47" s="97" t="s">
        <v>109</v>
      </c>
      <c r="H47" s="90">
        <f>(4/3)*PI()*F42^3</f>
        <v>1072530830756.3701</v>
      </c>
      <c r="I47" s="90"/>
      <c r="J47" s="90"/>
      <c r="K47" s="90"/>
      <c r="L47" s="98" t="s">
        <v>212</v>
      </c>
      <c r="M47" s="98">
        <f>-(COS(M45))^-1</f>
        <v>-1.0863603774052961</v>
      </c>
      <c r="N47" s="99" t="s">
        <v>214</v>
      </c>
      <c r="O47" s="90">
        <f>ABS(M47*M44)</f>
        <v>1.0893428355450498</v>
      </c>
      <c r="P47" s="90"/>
      <c r="Q47" s="90"/>
      <c r="R47" s="100">
        <v>12700</v>
      </c>
      <c r="S47" s="101"/>
      <c r="T47" s="90"/>
      <c r="U47" s="90"/>
      <c r="V47" s="90"/>
      <c r="W47" s="90"/>
      <c r="X47" s="90"/>
      <c r="Y47" s="102" t="s">
        <v>115</v>
      </c>
      <c r="Z47" s="90">
        <v>1.3822999999999999E-3</v>
      </c>
      <c r="AA47" s="90"/>
      <c r="AB47" s="90"/>
      <c r="AC47" s="90"/>
      <c r="AD47" s="90"/>
      <c r="AE47" s="90"/>
      <c r="AF47" s="90"/>
      <c r="AG47" s="90"/>
      <c r="AH47" s="103" t="s">
        <v>110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 t="s">
        <v>240</v>
      </c>
      <c r="AW47" s="110"/>
      <c r="AX47" s="5"/>
      <c r="AY47" s="5"/>
      <c r="AZ47" s="5"/>
      <c r="BA47" s="5"/>
      <c r="BB47" s="5"/>
      <c r="BC47" s="7"/>
      <c r="BD47" s="8"/>
      <c r="BE47" s="9"/>
      <c r="BF47" s="6"/>
    </row>
    <row r="48" spans="1:58" ht="15.75" hidden="1">
      <c r="A48" s="122"/>
      <c r="B48" s="163" t="s">
        <v>111</v>
      </c>
      <c r="C48" s="164"/>
      <c r="D48" s="164"/>
      <c r="E48" s="164"/>
      <c r="F48" s="164"/>
      <c r="G48" s="4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5">
        <f>V40</f>
        <v>340.15806178674342</v>
      </c>
      <c r="S48" s="56"/>
      <c r="T48" s="44"/>
      <c r="U48" s="57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 t="s">
        <v>112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 t="s">
        <v>240</v>
      </c>
      <c r="AW48" s="110"/>
      <c r="AX48" s="5"/>
      <c r="AY48" s="5"/>
      <c r="AZ48" s="5"/>
      <c r="BA48" s="5"/>
      <c r="BB48" s="5"/>
      <c r="BC48" s="4"/>
      <c r="BD48" s="5"/>
      <c r="BE48" s="6"/>
      <c r="BF48" s="6"/>
    </row>
    <row r="49" spans="1:58" ht="16.5" hidden="1" thickBot="1">
      <c r="A49" s="122"/>
      <c r="B49" s="83" t="s">
        <v>157</v>
      </c>
      <c r="C49" s="84"/>
      <c r="D49" s="84"/>
      <c r="E49" s="84"/>
      <c r="F49" s="84"/>
      <c r="G49" s="38"/>
      <c r="H49" s="29"/>
      <c r="I49" s="29"/>
      <c r="J49" s="29" t="s">
        <v>223</v>
      </c>
      <c r="K49" s="39">
        <v>6.6740800000000003E-11</v>
      </c>
      <c r="L49" s="29"/>
      <c r="M49" s="29"/>
      <c r="N49" s="29"/>
      <c r="O49" s="29"/>
      <c r="P49" s="29"/>
      <c r="Q49" s="29"/>
      <c r="R49" s="58">
        <f>N61</f>
        <v>253.43953168865707</v>
      </c>
      <c r="S49" s="59"/>
      <c r="T49" s="52"/>
      <c r="U49" s="111"/>
      <c r="V49" s="112"/>
      <c r="W49" s="112"/>
      <c r="X49" s="112"/>
      <c r="Y49" s="52"/>
      <c r="Z49" s="52"/>
      <c r="AA49" s="52"/>
      <c r="AB49" s="52"/>
      <c r="AC49" s="52"/>
      <c r="AD49" s="52"/>
      <c r="AE49" s="52"/>
      <c r="AF49" s="52"/>
      <c r="AG49" s="52"/>
      <c r="AH49" s="53" t="s">
        <v>142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 t="s">
        <v>242</v>
      </c>
      <c r="AW49" s="13">
        <v>8.1999999999999993</v>
      </c>
      <c r="AX49" s="5"/>
      <c r="AY49" s="5"/>
      <c r="AZ49" s="5"/>
      <c r="BA49" s="5"/>
      <c r="BB49" s="5"/>
      <c r="BC49" s="4"/>
      <c r="BD49" s="5"/>
      <c r="BE49" s="6"/>
      <c r="BF49" s="6"/>
    </row>
    <row r="50" spans="1:58" ht="45" hidden="1">
      <c r="A50" s="122"/>
      <c r="B50" s="83" t="s">
        <v>158</v>
      </c>
      <c r="C50" s="84"/>
      <c r="D50" s="84"/>
      <c r="E50" s="84"/>
      <c r="F50" s="84"/>
      <c r="G50" s="38"/>
      <c r="H50" s="29"/>
      <c r="I50" s="29"/>
      <c r="J50" s="29" t="s">
        <v>220</v>
      </c>
      <c r="K50" s="29">
        <f>(((R42*9.82*(R47/2)^2)/K49))*1000000</f>
        <v>5.9329068575743771E+24</v>
      </c>
      <c r="L50" s="29"/>
      <c r="M50" s="29"/>
      <c r="N50" s="29"/>
      <c r="O50" s="29"/>
      <c r="P50" s="29"/>
      <c r="Q50" s="29"/>
      <c r="R50" s="58">
        <f>T40-R49</f>
        <v>33.710468311342908</v>
      </c>
      <c r="S50" s="59"/>
      <c r="T50" s="52"/>
      <c r="U50" s="111"/>
      <c r="V50" s="138" t="s">
        <v>275</v>
      </c>
      <c r="W50" s="139" t="s">
        <v>279</v>
      </c>
      <c r="X50" s="134">
        <f>P70</f>
        <v>9.3518197031152681</v>
      </c>
      <c r="Y50" s="44" t="s">
        <v>283</v>
      </c>
      <c r="Z50" s="140">
        <f>BD4</f>
        <v>253.43953168865707</v>
      </c>
      <c r="AA50" s="45"/>
      <c r="AB50" s="52" t="s">
        <v>2</v>
      </c>
      <c r="AC50" s="52"/>
      <c r="AD50" s="52"/>
      <c r="AE50" s="52"/>
      <c r="AF50" s="52"/>
      <c r="AG50" s="52"/>
      <c r="AH50" s="53" t="s">
        <v>142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 t="s">
        <v>246</v>
      </c>
      <c r="AW50" s="5">
        <f>R47/2</f>
        <v>6350</v>
      </c>
      <c r="AX50" s="5" t="s">
        <v>110</v>
      </c>
      <c r="AY50" s="5"/>
      <c r="AZ50" s="5"/>
      <c r="BA50" s="5"/>
      <c r="BB50" s="5"/>
      <c r="BC50" s="4"/>
      <c r="BD50" s="5"/>
      <c r="BE50" s="6"/>
      <c r="BF50" s="6"/>
    </row>
    <row r="51" spans="1:58" hidden="1">
      <c r="A51" s="122"/>
      <c r="B51" s="165" t="s">
        <v>113</v>
      </c>
      <c r="C51" s="166"/>
      <c r="D51" s="166"/>
      <c r="E51" s="166"/>
      <c r="F51" s="166"/>
      <c r="G51" s="29" t="s">
        <v>114</v>
      </c>
      <c r="H51" s="29">
        <f>(4/3)*PI()*F47^3</f>
        <v>1076794156678.0692</v>
      </c>
      <c r="I51" s="29"/>
      <c r="J51" s="29" t="s">
        <v>221</v>
      </c>
      <c r="K51" s="39">
        <v>5.9760000000000004E+24</v>
      </c>
      <c r="L51" s="29" t="s">
        <v>121</v>
      </c>
      <c r="M51" s="29" t="s">
        <v>137</v>
      </c>
      <c r="N51" s="29">
        <f>N61</f>
        <v>253.43953168865707</v>
      </c>
      <c r="O51" s="29"/>
      <c r="P51" s="29"/>
      <c r="Q51" s="29"/>
      <c r="R51" s="60">
        <f>T34</f>
        <v>28.973803976526238</v>
      </c>
      <c r="S51" s="52"/>
      <c r="T51" s="52"/>
      <c r="U51" s="111"/>
      <c r="V51" s="137"/>
      <c r="W51" s="136"/>
      <c r="X51" s="112"/>
      <c r="Y51" s="52"/>
      <c r="AA51" s="53"/>
      <c r="AB51" s="52">
        <v>0</v>
      </c>
      <c r="AC51" s="52">
        <v>0.2</v>
      </c>
      <c r="AD51" s="52" t="s">
        <v>289</v>
      </c>
      <c r="AE51" s="52"/>
      <c r="AF51" s="52"/>
      <c r="AG51" s="52"/>
      <c r="AH51" s="53" t="s">
        <v>53</v>
      </c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 t="s">
        <v>245</v>
      </c>
      <c r="AW51" s="5">
        <f>AW50*(AW42/AW49)^(1/2)</f>
        <v>6944.2786120714636</v>
      </c>
      <c r="AX51" s="5"/>
      <c r="AY51" s="5"/>
      <c r="AZ51" s="5"/>
      <c r="BA51" s="5"/>
      <c r="BB51" s="5"/>
      <c r="BC51" s="4"/>
      <c r="BD51" s="5"/>
      <c r="BE51" s="6"/>
      <c r="BF51" s="6"/>
    </row>
    <row r="52" spans="1:58" hidden="1">
      <c r="A52" s="122"/>
      <c r="B52" s="165" t="s">
        <v>116</v>
      </c>
      <c r="C52" s="166"/>
      <c r="D52" s="166"/>
      <c r="E52" s="166"/>
      <c r="F52" s="166"/>
      <c r="G52" s="34" t="s">
        <v>117</v>
      </c>
      <c r="H52" s="29">
        <f>(H51-H47)*1000000000</f>
        <v>4.2633259216990966E+18</v>
      </c>
      <c r="I52" s="29" t="s">
        <v>118</v>
      </c>
      <c r="J52" s="29" t="s">
        <v>222</v>
      </c>
      <c r="K52" s="40">
        <f>K50/K51</f>
        <v>0.99278896545755968</v>
      </c>
      <c r="L52" s="29"/>
      <c r="M52" s="29" t="s">
        <v>33</v>
      </c>
      <c r="N52" s="29">
        <f>5.670367*(10^-8)</f>
        <v>5.6703669999999997E-8</v>
      </c>
      <c r="O52" s="29"/>
      <c r="P52" s="29"/>
      <c r="Q52" s="29"/>
      <c r="R52" s="60">
        <f>U34/R51</f>
        <v>286.96770624441939</v>
      </c>
      <c r="S52" s="52"/>
      <c r="T52" s="52"/>
      <c r="U52" s="111"/>
      <c r="V52" s="137" t="s">
        <v>276</v>
      </c>
      <c r="W52" s="136">
        <f>1+ABS(SIN((R45/(180/PI())))/2)</f>
        <v>1.1953655642446368</v>
      </c>
      <c r="Y52" s="52" t="s">
        <v>309</v>
      </c>
      <c r="Z52" s="60">
        <f>Z50-W60-W58</f>
        <v>194.32747891355609</v>
      </c>
      <c r="AA52" s="53"/>
      <c r="AB52" s="52">
        <v>0.2</v>
      </c>
      <c r="AC52" s="52">
        <v>0.7</v>
      </c>
      <c r="AD52" s="52" t="s">
        <v>290</v>
      </c>
      <c r="AE52" s="52"/>
      <c r="AF52" s="52"/>
      <c r="AG52" s="52"/>
      <c r="AH52" s="53" t="s">
        <v>54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 t="s">
        <v>241</v>
      </c>
      <c r="AW52" s="5">
        <f>AW51-AW50</f>
        <v>594.27861207146361</v>
      </c>
      <c r="AX52" s="5"/>
      <c r="AY52" s="5"/>
      <c r="AZ52" s="5"/>
      <c r="BA52" s="5"/>
      <c r="BB52" s="5"/>
      <c r="BC52" s="4"/>
      <c r="BD52" s="5"/>
      <c r="BE52" s="6"/>
      <c r="BF52" s="6"/>
    </row>
    <row r="53" spans="1:58" hidden="1">
      <c r="A53" s="122"/>
      <c r="B53" s="70" t="s">
        <v>141</v>
      </c>
      <c r="C53" s="84"/>
      <c r="D53" s="84"/>
      <c r="E53" s="84"/>
      <c r="F53" s="84"/>
      <c r="G53" s="34"/>
      <c r="H53" s="29"/>
      <c r="I53" s="29"/>
      <c r="J53" s="29" t="s">
        <v>253</v>
      </c>
      <c r="K53" s="30">
        <f>((2*K49*K50)/((R47/2)*1000))^(1/2)</f>
        <v>11167.542254229442</v>
      </c>
      <c r="L53" s="29" t="s">
        <v>106</v>
      </c>
      <c r="M53" s="29" t="s">
        <v>34</v>
      </c>
      <c r="N53" s="29">
        <f>((4*N52)*(N51^4))/(1-R41)</f>
        <v>1376.1306780207449</v>
      </c>
      <c r="O53" s="29"/>
      <c r="P53" s="29"/>
      <c r="Q53" s="29"/>
      <c r="R53" s="61">
        <f>IFERROR(P37," -x- ")</f>
        <v>2.3879930642006046E-2</v>
      </c>
      <c r="S53" s="52"/>
      <c r="T53" s="52"/>
      <c r="U53" s="111"/>
      <c r="V53" s="137"/>
      <c r="W53" s="136"/>
      <c r="X53" s="112"/>
      <c r="Y53" s="52" t="s">
        <v>310</v>
      </c>
      <c r="Z53" s="60">
        <f>Z50+X50+W58</f>
        <v>276.1039072684535</v>
      </c>
      <c r="AA53" s="53"/>
      <c r="AB53" s="52">
        <v>0.7</v>
      </c>
      <c r="AC53" s="52">
        <v>1.5</v>
      </c>
      <c r="AD53" s="52" t="s">
        <v>291</v>
      </c>
      <c r="AE53" s="52"/>
      <c r="AF53" s="52"/>
      <c r="AG53" s="52"/>
      <c r="AH53" s="53" t="s">
        <v>136</v>
      </c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 t="s">
        <v>244</v>
      </c>
      <c r="AW53" s="113">
        <f>(((2*AW44*AW45)/AW51*1000)^(1/2))/1000</f>
        <v>10679.007673384354</v>
      </c>
      <c r="AX53" s="5" t="s">
        <v>106</v>
      </c>
      <c r="AY53" s="5"/>
      <c r="AZ53" s="5"/>
      <c r="BA53" s="5"/>
      <c r="BB53" s="110"/>
      <c r="BC53" s="4"/>
      <c r="BD53" s="5"/>
      <c r="BE53" s="6"/>
      <c r="BF53" s="6"/>
    </row>
    <row r="54" spans="1:58" ht="30" hidden="1">
      <c r="A54" s="122"/>
      <c r="B54" s="70" t="s">
        <v>218</v>
      </c>
      <c r="C54" s="84"/>
      <c r="D54" s="84"/>
      <c r="E54" s="84"/>
      <c r="F54" s="84"/>
      <c r="G54" s="34"/>
      <c r="H54" s="29"/>
      <c r="I54" s="29"/>
      <c r="J54" s="29"/>
      <c r="K54" s="29"/>
      <c r="L54" s="29"/>
      <c r="M54" s="29" t="s">
        <v>311</v>
      </c>
      <c r="N54" s="87">
        <f>R54</f>
        <v>1.0027453671928621</v>
      </c>
      <c r="O54" s="29"/>
      <c r="P54" s="29"/>
      <c r="Q54" s="29"/>
      <c r="R54" s="61">
        <f>M44</f>
        <v>1.0027453671928621</v>
      </c>
      <c r="S54" s="52"/>
      <c r="T54" s="52"/>
      <c r="U54" s="111"/>
      <c r="V54" s="137" t="s">
        <v>277</v>
      </c>
      <c r="W54" s="136">
        <f>(1+(0.5*(R46)))^4</f>
        <v>1.0282953744009995</v>
      </c>
      <c r="X54" s="112"/>
      <c r="Y54" s="52"/>
      <c r="Z54" s="52"/>
      <c r="AA54" s="53"/>
      <c r="AB54" s="59">
        <v>1.5</v>
      </c>
      <c r="AC54" s="59">
        <v>2.5</v>
      </c>
      <c r="AD54" s="59" t="s">
        <v>292</v>
      </c>
      <c r="AE54" s="52"/>
      <c r="AF54" s="52"/>
      <c r="AG54" s="52"/>
      <c r="AH54" s="53" t="s">
        <v>219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4"/>
      <c r="BD54" s="5"/>
      <c r="BE54" s="6"/>
      <c r="BF54" s="6"/>
    </row>
    <row r="55" spans="1:58" hidden="1">
      <c r="A55" s="122"/>
      <c r="B55" s="70" t="s">
        <v>200</v>
      </c>
      <c r="C55" s="84"/>
      <c r="D55" s="84"/>
      <c r="E55" s="84"/>
      <c r="F55" s="84"/>
      <c r="G55" s="3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61">
        <f>M41</f>
        <v>9.3518197031152681</v>
      </c>
      <c r="S55" s="52" t="s">
        <v>143</v>
      </c>
      <c r="T55" s="60">
        <f>273.15+R40-3-R50</f>
        <v>250.43953168865707</v>
      </c>
      <c r="U55" s="111"/>
      <c r="V55" s="137"/>
      <c r="W55" s="136"/>
      <c r="X55" s="112"/>
      <c r="Y55" s="52"/>
      <c r="Z55" s="52"/>
      <c r="AA55" s="53"/>
      <c r="AB55" s="59">
        <v>2.5</v>
      </c>
      <c r="AC55" s="59">
        <v>4</v>
      </c>
      <c r="AD55" s="59" t="s">
        <v>293</v>
      </c>
      <c r="AE55" s="52"/>
      <c r="AF55" s="52"/>
      <c r="AG55" s="52"/>
      <c r="AH55" s="53" t="s">
        <v>142</v>
      </c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21" t="s">
        <v>254</v>
      </c>
      <c r="AW55" s="5">
        <f>R63/AW41</f>
        <v>9.654123783404339</v>
      </c>
      <c r="AX55" s="5"/>
      <c r="AY55" s="5"/>
      <c r="AZ55" s="5"/>
      <c r="BA55" s="5"/>
      <c r="BB55" s="5"/>
      <c r="BC55" s="4"/>
      <c r="BD55" s="5"/>
      <c r="BE55" s="6"/>
      <c r="BF55" s="6"/>
    </row>
    <row r="56" spans="1:58" hidden="1">
      <c r="A56" s="122"/>
      <c r="B56" s="70" t="s">
        <v>34</v>
      </c>
      <c r="C56" s="84"/>
      <c r="D56" s="84"/>
      <c r="E56" s="84"/>
      <c r="F56" s="84"/>
      <c r="G56" s="34"/>
      <c r="H56" s="29"/>
      <c r="I56" s="29"/>
      <c r="J56" s="29"/>
      <c r="K56" s="29"/>
      <c r="L56" s="29"/>
      <c r="M56" s="5"/>
      <c r="N56" s="5"/>
      <c r="O56" s="29" t="s">
        <v>26</v>
      </c>
      <c r="P56" s="29"/>
      <c r="Q56" s="29"/>
      <c r="R56" s="60">
        <f>N53</f>
        <v>1376.1306780207449</v>
      </c>
      <c r="S56" s="52"/>
      <c r="T56" s="52"/>
      <c r="U56" s="111"/>
      <c r="V56" s="137"/>
      <c r="W56" s="136"/>
      <c r="X56" s="112"/>
      <c r="Y56" s="52"/>
      <c r="Z56" s="52"/>
      <c r="AA56" s="53"/>
      <c r="AB56" s="59">
        <v>4</v>
      </c>
      <c r="AC56" s="59">
        <v>7</v>
      </c>
      <c r="AD56" s="59" t="s">
        <v>294</v>
      </c>
      <c r="AE56" s="52"/>
      <c r="AF56" s="52"/>
      <c r="AG56" s="52"/>
      <c r="AH56" s="53" t="s">
        <v>140</v>
      </c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21" t="s">
        <v>255</v>
      </c>
      <c r="AW56" s="5">
        <f>IF(AW55&lt;1,1,IF(AW55&lt;1.5,2,3))</f>
        <v>3</v>
      </c>
      <c r="AX56" s="5"/>
      <c r="AY56" s="5">
        <v>1</v>
      </c>
      <c r="AZ56" s="5" t="s">
        <v>257</v>
      </c>
      <c r="BA56" s="5"/>
      <c r="BB56" s="5"/>
      <c r="BC56" s="4"/>
      <c r="BD56" s="5"/>
      <c r="BE56" s="6"/>
      <c r="BF56" s="6"/>
    </row>
    <row r="57" spans="1:58" ht="30" hidden="1">
      <c r="A57" s="122"/>
      <c r="B57" s="70" t="s">
        <v>224</v>
      </c>
      <c r="C57" s="84"/>
      <c r="D57" s="84"/>
      <c r="E57" s="84"/>
      <c r="F57" s="84"/>
      <c r="G57" s="34"/>
      <c r="H57" s="29"/>
      <c r="I57" s="29"/>
      <c r="J57" s="29"/>
      <c r="K57" s="29"/>
      <c r="L57" s="29"/>
      <c r="M57" s="29" t="s">
        <v>148</v>
      </c>
      <c r="N57" s="114">
        <f>R36</f>
        <v>5770</v>
      </c>
      <c r="O57" s="29"/>
      <c r="P57" s="29"/>
      <c r="Q57" s="29"/>
      <c r="R57" s="60">
        <f>K52</f>
        <v>0.99278896545755968</v>
      </c>
      <c r="S57" s="52"/>
      <c r="T57" s="52"/>
      <c r="U57" s="111"/>
      <c r="V57" s="137" t="s">
        <v>280</v>
      </c>
      <c r="W57" s="136">
        <f>(W54*W52-1)^2</f>
        <v>5.2527542913215541E-2</v>
      </c>
      <c r="X57" s="112"/>
      <c r="Y57" s="52" t="s">
        <v>145</v>
      </c>
      <c r="Z57" s="52" t="s">
        <v>144</v>
      </c>
      <c r="AA57" s="53"/>
      <c r="AB57" s="59">
        <v>7</v>
      </c>
      <c r="AC57" s="59">
        <v>99999999</v>
      </c>
      <c r="AD57" s="59" t="s">
        <v>295</v>
      </c>
      <c r="AE57" s="52"/>
      <c r="AF57" s="52"/>
      <c r="AG57" s="52"/>
      <c r="AH57" s="53" t="s">
        <v>225</v>
      </c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121" t="s">
        <v>256</v>
      </c>
      <c r="AW57" s="5" t="str">
        <f>INDEX(AY56:AZ58,MATCH(AW56,AY56:AY58,0),2)</f>
        <v>Atmosphere is likely to be thermokinetic stable</v>
      </c>
      <c r="AX57" s="5"/>
      <c r="AY57" s="5">
        <v>2</v>
      </c>
      <c r="AZ57" s="5" t="s">
        <v>258</v>
      </c>
      <c r="BA57" s="5"/>
      <c r="BB57" s="5"/>
      <c r="BC57" s="4"/>
      <c r="BD57" s="5"/>
      <c r="BE57" s="6"/>
      <c r="BF57" s="6"/>
    </row>
    <row r="58" spans="1:58" hidden="1">
      <c r="A58" s="122"/>
      <c r="B58" s="167" t="s">
        <v>119</v>
      </c>
      <c r="C58" s="168"/>
      <c r="D58" s="168"/>
      <c r="E58" s="168"/>
      <c r="F58" s="168"/>
      <c r="G58" s="34" t="s">
        <v>120</v>
      </c>
      <c r="H58" s="29">
        <f>R58*H52</f>
        <v>5.2423172560379546E+18</v>
      </c>
      <c r="I58" s="29" t="s">
        <v>121</v>
      </c>
      <c r="J58" s="39">
        <f>H58/I42</f>
        <v>8.777880904723316E-7</v>
      </c>
      <c r="K58" s="29" t="s">
        <v>122</v>
      </c>
      <c r="L58" s="29"/>
      <c r="M58" s="29" t="s">
        <v>149</v>
      </c>
      <c r="N58" s="114">
        <f>R37/2*1000</f>
        <v>700000000</v>
      </c>
      <c r="O58" s="29" t="s">
        <v>150</v>
      </c>
      <c r="P58" s="29"/>
      <c r="Q58" s="29"/>
      <c r="R58" s="60">
        <f>T39/(R52*T40)</f>
        <v>1.2296308920122845</v>
      </c>
      <c r="S58" s="52"/>
      <c r="T58" s="65"/>
      <c r="U58" s="111"/>
      <c r="V58" s="137" t="s">
        <v>281</v>
      </c>
      <c r="W58" s="136">
        <f>W57*Z50</f>
        <v>13.312555876681184</v>
      </c>
      <c r="X58" s="115"/>
      <c r="Y58" s="60">
        <f>IF(Z50-2*0.9*(X50+W58+W59)+BD5&lt;W61,W61,Z50-2*0.9*(X50+W58+W59)+BD5)</f>
        <v>246.02303427351617</v>
      </c>
      <c r="Z58" s="60">
        <f>(Z50+X50+W59+W58+BD5)</f>
        <v>309.99831429249093</v>
      </c>
      <c r="AA58" s="53"/>
      <c r="AB58" s="135" t="s">
        <v>2</v>
      </c>
      <c r="AC58" s="52">
        <f>R42</f>
        <v>1</v>
      </c>
      <c r="AD58" s="52"/>
      <c r="AE58" s="52"/>
      <c r="AF58" s="52"/>
      <c r="AG58" s="52"/>
      <c r="AH58" s="53" t="s">
        <v>123</v>
      </c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>
        <v>3</v>
      </c>
      <c r="AZ58" s="110" t="s">
        <v>259</v>
      </c>
      <c r="BA58" s="5"/>
      <c r="BB58" s="5"/>
      <c r="BC58" s="4"/>
      <c r="BD58" s="5"/>
      <c r="BE58" s="6"/>
      <c r="BF58" s="6"/>
    </row>
    <row r="59" spans="1:58" ht="30" hidden="1">
      <c r="A59" s="122"/>
      <c r="B59" s="83" t="s">
        <v>124</v>
      </c>
      <c r="C59" s="64"/>
      <c r="D59" s="64"/>
      <c r="E59" s="64"/>
      <c r="F59" s="64"/>
      <c r="G59" s="29"/>
      <c r="H59" s="29"/>
      <c r="I59" s="29"/>
      <c r="J59" s="30">
        <f>H58/K42</f>
        <v>1.0179256807840689</v>
      </c>
      <c r="K59" s="29" t="s">
        <v>125</v>
      </c>
      <c r="L59" s="29"/>
      <c r="M59" s="29" t="s">
        <v>151</v>
      </c>
      <c r="N59" s="29">
        <f>Z35*1000</f>
        <v>149597870750.76672</v>
      </c>
      <c r="O59" s="29" t="s">
        <v>150</v>
      </c>
      <c r="P59" s="29"/>
      <c r="Q59" s="29"/>
      <c r="R59" s="62">
        <f>(G42*T40)/(R51*T42)</f>
        <v>8.4026575712068965</v>
      </c>
      <c r="S59" s="63"/>
      <c r="T59" s="64"/>
      <c r="U59" s="111"/>
      <c r="V59" s="137" t="s">
        <v>308</v>
      </c>
      <c r="W59" s="135">
        <f>K39</f>
        <v>0.18393871269454223</v>
      </c>
      <c r="X59" s="115"/>
      <c r="Y59" s="60">
        <f>MIN(Y58:Z58)</f>
        <v>246.02303427351617</v>
      </c>
      <c r="Z59" s="60">
        <f>MAX(Y58:Z58)</f>
        <v>309.99831429249093</v>
      </c>
      <c r="AA59" s="53"/>
      <c r="AB59" s="135" t="s">
        <v>172</v>
      </c>
      <c r="AC59" s="52" t="str">
        <f>"Gravity level is "&amp;INDEX(AD51:AD57,MATCH(AC58,AB51:AB57,1),1)</f>
        <v>Gravity level is comfortable</v>
      </c>
      <c r="AD59" s="52"/>
      <c r="AE59" s="52"/>
      <c r="AF59" s="52"/>
      <c r="AG59" s="52"/>
      <c r="AH59" s="53" t="s">
        <v>126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4"/>
      <c r="BD59" s="5"/>
      <c r="BE59" s="6"/>
      <c r="BF59" s="6"/>
    </row>
    <row r="60" spans="1:58" hidden="1">
      <c r="A60" s="122"/>
      <c r="B60" s="83" t="s">
        <v>127</v>
      </c>
      <c r="C60" s="64"/>
      <c r="D60" s="64"/>
      <c r="E60" s="64"/>
      <c r="F60" s="64"/>
      <c r="G60" s="43">
        <v>9.9999999999999995E-7</v>
      </c>
      <c r="H60" s="29"/>
      <c r="I60" s="29"/>
      <c r="J60" s="29"/>
      <c r="K60" s="29"/>
      <c r="L60" s="29"/>
      <c r="M60" s="29" t="s">
        <v>152</v>
      </c>
      <c r="N60" s="29">
        <f>R41</f>
        <v>0.32</v>
      </c>
      <c r="O60" s="29"/>
      <c r="P60" s="29"/>
      <c r="Q60" s="29"/>
      <c r="R60" s="62">
        <f>LN(G60)*-1*R59</f>
        <v>116.08700438996732</v>
      </c>
      <c r="S60" s="63"/>
      <c r="T60" s="52"/>
      <c r="U60" s="52"/>
      <c r="V60" s="132" t="s">
        <v>282</v>
      </c>
      <c r="W60" s="52">
        <f>IF(W59*W58*X50*2&gt;(Z50/2),Z50/2,W59*W58*X50*2)</f>
        <v>45.799496898419775</v>
      </c>
      <c r="X60" s="52"/>
      <c r="Y60" s="60">
        <f>Y59-273.15</f>
        <v>-27.126965726483803</v>
      </c>
      <c r="Z60" s="60">
        <f>Z59-273.15</f>
        <v>36.848314292490954</v>
      </c>
      <c r="AA60" s="53"/>
      <c r="AB60" s="52"/>
      <c r="AC60" s="52">
        <f>MATCH(AC58,AB51:AB57,1)</f>
        <v>3</v>
      </c>
      <c r="AD60" s="52"/>
      <c r="AE60" s="52"/>
      <c r="AF60" s="52"/>
      <c r="AG60" s="52"/>
      <c r="AH60" s="53" t="s">
        <v>126</v>
      </c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4"/>
      <c r="BD60" s="5"/>
      <c r="BE60" s="6"/>
      <c r="BF60" s="6"/>
    </row>
    <row r="61" spans="1:58" hidden="1">
      <c r="A61" s="122"/>
      <c r="B61" s="83" t="s">
        <v>128</v>
      </c>
      <c r="C61" s="64"/>
      <c r="D61" s="64"/>
      <c r="E61" s="64"/>
      <c r="F61" s="64"/>
      <c r="G61" s="29"/>
      <c r="H61" s="29"/>
      <c r="I61" s="29"/>
      <c r="J61" s="29"/>
      <c r="K61" s="29"/>
      <c r="L61" s="29"/>
      <c r="M61" s="29" t="s">
        <v>153</v>
      </c>
      <c r="N61" s="29">
        <f>(N57*(((N58/(2*N59)))^(1/2)))*((1-N60)^(1/4))</f>
        <v>253.43953168865707</v>
      </c>
      <c r="O61" s="29" t="s">
        <v>26</v>
      </c>
      <c r="P61" s="29"/>
      <c r="Q61" s="29"/>
      <c r="R61" s="65">
        <f>J58</f>
        <v>8.777880904723316E-7</v>
      </c>
      <c r="S61" s="65"/>
      <c r="T61" s="52"/>
      <c r="U61" s="52"/>
      <c r="V61" s="132" t="s">
        <v>284</v>
      </c>
      <c r="W61" s="60">
        <f>IF(3+BD5&lt;3,3,BD5+3)</f>
        <v>36.710468311342908</v>
      </c>
      <c r="X61" s="52"/>
      <c r="Y61" s="52"/>
      <c r="Z61" s="52"/>
      <c r="AA61" s="53"/>
      <c r="AB61" s="135" t="s">
        <v>296</v>
      </c>
      <c r="AC61" s="52">
        <f>IF(AC60=3,1,0)</f>
        <v>1</v>
      </c>
      <c r="AD61" s="52"/>
      <c r="AE61" s="52"/>
      <c r="AF61" s="52"/>
      <c r="AG61" s="52"/>
      <c r="AH61" s="54" t="s">
        <v>129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13"/>
      <c r="BA61" s="5"/>
      <c r="BB61" s="5"/>
      <c r="BC61" s="4"/>
      <c r="BD61" s="5"/>
      <c r="BE61" s="6"/>
      <c r="BF61" s="6"/>
    </row>
    <row r="62" spans="1:58" hidden="1">
      <c r="A62" s="122"/>
      <c r="B62" s="83" t="s">
        <v>130</v>
      </c>
      <c r="C62" s="64"/>
      <c r="D62" s="64"/>
      <c r="E62" s="64"/>
      <c r="F62" s="64"/>
      <c r="G62" s="29"/>
      <c r="H62" s="29"/>
      <c r="I62" s="29"/>
      <c r="J62" s="29"/>
      <c r="K62" s="29"/>
      <c r="L62" s="29"/>
      <c r="M62" s="29"/>
      <c r="N62" s="29">
        <f>N61-273.15</f>
        <v>-19.710468311342908</v>
      </c>
      <c r="O62" s="29" t="s">
        <v>27</v>
      </c>
      <c r="P62" s="29"/>
      <c r="Q62" s="29"/>
      <c r="R62" s="51">
        <f>J59</f>
        <v>1.0179256807840689</v>
      </c>
      <c r="S62" s="51"/>
      <c r="T62" s="52"/>
      <c r="U62" s="52"/>
      <c r="V62" s="132"/>
      <c r="W62" s="52"/>
      <c r="X62" s="52"/>
      <c r="Y62" s="52"/>
      <c r="Z62" s="52"/>
      <c r="AA62" s="53"/>
      <c r="AB62" s="52"/>
      <c r="AC62" s="52"/>
      <c r="AD62" s="52"/>
      <c r="AE62" s="52"/>
      <c r="AF62" s="52"/>
      <c r="AG62" s="52"/>
      <c r="AH62" s="54" t="s">
        <v>131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4"/>
      <c r="BD62" s="5"/>
      <c r="BE62" s="6"/>
      <c r="BF62" s="6"/>
    </row>
    <row r="63" spans="1:58" ht="15.75" hidden="1" thickBot="1">
      <c r="A63" s="122"/>
      <c r="B63" s="70" t="s">
        <v>252</v>
      </c>
      <c r="C63" s="64"/>
      <c r="D63" s="64"/>
      <c r="E63" s="64"/>
      <c r="F63" s="64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51">
        <f>K53</f>
        <v>11167.542254229442</v>
      </c>
      <c r="S63" s="51"/>
      <c r="T63" s="52"/>
      <c r="U63" s="52"/>
      <c r="V63" s="133"/>
      <c r="W63" s="66"/>
      <c r="X63" s="66"/>
      <c r="Y63" s="66"/>
      <c r="Z63" s="66"/>
      <c r="AA63" s="67"/>
      <c r="AB63" s="52"/>
      <c r="AC63" s="52"/>
      <c r="AD63" s="52"/>
      <c r="AE63" s="52"/>
      <c r="AF63" s="52"/>
      <c r="AG63" s="52"/>
      <c r="AH63" s="54" t="s">
        <v>112</v>
      </c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5"/>
      <c r="BE63" s="6"/>
      <c r="BF63" s="6"/>
    </row>
    <row r="64" spans="1:58" hidden="1">
      <c r="A64" s="122"/>
      <c r="B64" s="71" t="s">
        <v>197</v>
      </c>
      <c r="C64" s="44"/>
      <c r="D64" s="44"/>
      <c r="E64" s="44"/>
      <c r="F64" s="44"/>
      <c r="G64" s="22"/>
      <c r="H64" s="22"/>
      <c r="I64" s="22"/>
      <c r="J64" s="22"/>
      <c r="K64" s="22"/>
      <c r="L64" s="22"/>
      <c r="M64" s="144" t="s">
        <v>304</v>
      </c>
      <c r="N64" s="145">
        <f>N54</f>
        <v>1.0027453671928621</v>
      </c>
      <c r="O64" s="144" t="s">
        <v>299</v>
      </c>
      <c r="P64" s="3">
        <f>-K39</f>
        <v>-0.18393871269454223</v>
      </c>
      <c r="Q64" s="2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5"/>
      <c r="BE64" s="6"/>
      <c r="BF64" s="6"/>
    </row>
    <row r="65" spans="1:58" hidden="1">
      <c r="A65" s="122"/>
      <c r="B65" s="70" t="s">
        <v>195</v>
      </c>
      <c r="C65" s="52" t="str">
        <f>IF(AK102=7,"Yes","No")</f>
        <v>Yes</v>
      </c>
      <c r="D65" s="52"/>
      <c r="E65" s="52"/>
      <c r="F65" s="52"/>
      <c r="G65" s="29"/>
      <c r="H65" s="29"/>
      <c r="I65" s="29"/>
      <c r="J65" s="29"/>
      <c r="K65" s="29"/>
      <c r="L65" s="29"/>
      <c r="M65" s="146" t="s">
        <v>305</v>
      </c>
      <c r="N65" s="147">
        <v>18</v>
      </c>
      <c r="O65" s="146" t="s">
        <v>302</v>
      </c>
      <c r="P65" s="149">
        <f>N54/2</f>
        <v>0.50137268359643106</v>
      </c>
      <c r="Q65" s="29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3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5"/>
      <c r="BE65" s="6"/>
      <c r="BF65" s="6"/>
    </row>
    <row r="66" spans="1:58" hidden="1">
      <c r="A66" s="122"/>
      <c r="B66" s="70" t="s">
        <v>196</v>
      </c>
      <c r="C66" s="52"/>
      <c r="D66" s="52"/>
      <c r="E66" s="52"/>
      <c r="F66" s="52"/>
      <c r="G66" s="29"/>
      <c r="H66" s="29"/>
      <c r="I66" s="29" t="s">
        <v>268</v>
      </c>
      <c r="J66" s="29"/>
      <c r="K66" s="29"/>
      <c r="L66" s="29"/>
      <c r="M66" s="146" t="s">
        <v>297</v>
      </c>
      <c r="N66" s="6"/>
      <c r="O66" s="146" t="s">
        <v>298</v>
      </c>
      <c r="P66" s="6">
        <f>T40</f>
        <v>287.14999999999998</v>
      </c>
      <c r="Q66" s="29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3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5"/>
      <c r="BE66" s="6"/>
      <c r="BF66" s="6"/>
    </row>
    <row r="67" spans="1:58" hidden="1">
      <c r="A67" s="122"/>
      <c r="B67" s="70"/>
      <c r="C67" s="72" t="str">
        <f>AL95</f>
        <v>This atmosphere has no known toxic elements</v>
      </c>
      <c r="D67" s="52"/>
      <c r="E67" s="52"/>
      <c r="F67" s="52"/>
      <c r="G67" s="29"/>
      <c r="H67" s="29"/>
      <c r="I67" s="29">
        <f>IF(Q33=0,0,1)</f>
        <v>1</v>
      </c>
      <c r="J67" s="29"/>
      <c r="K67" s="29"/>
      <c r="L67" s="29"/>
      <c r="M67" s="146" t="s">
        <v>306</v>
      </c>
      <c r="N67" s="6">
        <f>P66/2</f>
        <v>143.57499999999999</v>
      </c>
      <c r="O67" s="146" t="s">
        <v>300</v>
      </c>
      <c r="P67" s="6">
        <f>((1/N64)*N65)*(N64+1/N64+2)</f>
        <v>71.803009668211274</v>
      </c>
      <c r="Q67" s="29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3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5"/>
      <c r="BE67" s="6"/>
      <c r="BF67" s="6"/>
    </row>
    <row r="68" spans="1:58" hidden="1">
      <c r="A68" s="122"/>
      <c r="B68" s="70"/>
      <c r="C68" s="72" t="str">
        <f>AL96</f>
        <v>This atmosphere contains no hallucinogenic gases</v>
      </c>
      <c r="D68" s="52"/>
      <c r="E68" s="52"/>
      <c r="F68" s="52"/>
      <c r="G68" s="29"/>
      <c r="H68" s="29"/>
      <c r="I68" s="29">
        <v>0</v>
      </c>
      <c r="J68" s="29" t="s">
        <v>269</v>
      </c>
      <c r="K68" s="29"/>
      <c r="L68" s="29"/>
      <c r="M68" s="148"/>
      <c r="N68" s="31"/>
      <c r="O68" s="146" t="s">
        <v>301</v>
      </c>
      <c r="P68" s="6">
        <f>P64*P67*P65^(1/2)+P66</f>
        <v>277.79818029688471</v>
      </c>
      <c r="Q68" s="29"/>
      <c r="R68" s="52"/>
      <c r="S68" s="52"/>
      <c r="T68" s="60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3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5"/>
      <c r="BE68" s="6"/>
      <c r="BF68" s="6"/>
    </row>
    <row r="69" spans="1:58" hidden="1">
      <c r="A69" s="122"/>
      <c r="B69" s="70"/>
      <c r="C69" s="72" t="str">
        <f>AL97</f>
        <v>Oxygenlevel ok</v>
      </c>
      <c r="D69" s="52"/>
      <c r="E69" s="52"/>
      <c r="F69" s="52"/>
      <c r="G69" s="29"/>
      <c r="H69" s="29"/>
      <c r="I69" s="29">
        <v>1</v>
      </c>
      <c r="J69" s="29" t="s">
        <v>68</v>
      </c>
      <c r="K69" s="29"/>
      <c r="L69" s="29"/>
      <c r="M69" s="148"/>
      <c r="N69" s="31"/>
      <c r="O69" s="146" t="s">
        <v>303</v>
      </c>
      <c r="P69" s="6">
        <f>P66-P68</f>
        <v>9.3518197031152681</v>
      </c>
      <c r="Q69" s="29"/>
      <c r="R69" s="52"/>
      <c r="S69" s="52"/>
      <c r="T69" s="60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3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5"/>
      <c r="BE69" s="6"/>
      <c r="BF69" s="6"/>
    </row>
    <row r="70" spans="1:58" hidden="1">
      <c r="A70" s="122"/>
      <c r="B70" s="70"/>
      <c r="C70" s="72" t="str">
        <f>AL99</f>
        <v>Temperature ok</v>
      </c>
      <c r="D70" s="52"/>
      <c r="E70" s="52"/>
      <c r="F70" s="52"/>
      <c r="G70" s="29"/>
      <c r="H70" s="29"/>
      <c r="I70" t="s">
        <v>270</v>
      </c>
      <c r="J70" t="str">
        <f>INDEX(I68:J69,MATCH(I67,I68:I69,0),2)</f>
        <v>-</v>
      </c>
      <c r="K70" s="29"/>
      <c r="L70" s="29"/>
      <c r="M70" s="148"/>
      <c r="N70" s="31"/>
      <c r="O70" s="146" t="s">
        <v>307</v>
      </c>
      <c r="P70" s="6">
        <f>IF(P69&gt;N67,N67,P69)</f>
        <v>9.3518197031152681</v>
      </c>
      <c r="Q70" s="29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3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5"/>
      <c r="BE70" s="6"/>
      <c r="BF70" s="6"/>
    </row>
    <row r="71" spans="1:58" hidden="1">
      <c r="A71" s="122"/>
      <c r="B71" s="70"/>
      <c r="C71" s="72" t="str">
        <f>AL98</f>
        <v>-</v>
      </c>
      <c r="D71" s="52"/>
      <c r="E71" s="52"/>
      <c r="F71" s="52"/>
      <c r="G71" s="29"/>
      <c r="H71" s="29"/>
      <c r="I71" s="29"/>
      <c r="J71" s="29"/>
      <c r="K71" s="29"/>
      <c r="L71" s="29"/>
      <c r="M71" s="148"/>
      <c r="N71" s="31"/>
      <c r="O71" s="148"/>
      <c r="P71" s="31"/>
      <c r="Q71" s="29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3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5"/>
      <c r="BE71" s="6"/>
      <c r="BF71" s="6"/>
    </row>
    <row r="72" spans="1:58" ht="15.75" hidden="1" thickBot="1">
      <c r="A72" s="122"/>
      <c r="B72" s="73"/>
      <c r="C72" s="74"/>
      <c r="D72" s="66"/>
      <c r="E72" s="66"/>
      <c r="F72" s="66"/>
      <c r="G72" s="8"/>
      <c r="H72" s="8"/>
      <c r="I72" s="8"/>
      <c r="J72" s="8"/>
      <c r="K72" s="8"/>
      <c r="L72" s="8"/>
      <c r="M72" s="7"/>
      <c r="N72" s="9"/>
      <c r="O72" s="7"/>
      <c r="P72" s="9"/>
      <c r="Q72" s="20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7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7"/>
      <c r="BD72" s="8"/>
      <c r="BE72" s="9"/>
      <c r="BF72" s="6"/>
    </row>
    <row r="73" spans="1:58" ht="15.75" thickBot="1">
      <c r="A73" s="7"/>
      <c r="B73" s="116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9"/>
    </row>
    <row r="74" spans="1:58" ht="15.75" hidden="1" thickBot="1">
      <c r="A74" s="10"/>
    </row>
    <row r="75" spans="1:58" ht="15.75" hidden="1" thickBot="1">
      <c r="A75" s="10"/>
      <c r="AJ75" s="1"/>
      <c r="AK75" s="2"/>
      <c r="AL75" s="2"/>
      <c r="AM75" s="2"/>
      <c r="AN75" s="2"/>
      <c r="AO75" s="2"/>
      <c r="AP75" s="2"/>
      <c r="AQ75" s="2"/>
      <c r="AR75" s="2">
        <v>1</v>
      </c>
      <c r="AS75" s="2">
        <v>2</v>
      </c>
      <c r="AT75" s="2">
        <v>3</v>
      </c>
      <c r="AU75" s="2">
        <v>4</v>
      </c>
      <c r="AV75" s="3"/>
      <c r="AZ75">
        <v>0</v>
      </c>
      <c r="BA75" t="s">
        <v>176</v>
      </c>
    </row>
    <row r="76" spans="1:58" hidden="1">
      <c r="A76" s="10"/>
      <c r="AJ76" s="4"/>
      <c r="AK76" s="5" t="s">
        <v>173</v>
      </c>
      <c r="AL76" s="17" t="s">
        <v>166</v>
      </c>
      <c r="AM76" s="17"/>
      <c r="AN76" s="17"/>
      <c r="AO76" s="17"/>
      <c r="AP76" s="17"/>
      <c r="AQ76" s="2"/>
      <c r="AR76" s="2" t="s">
        <v>167</v>
      </c>
      <c r="AS76" s="2" t="s">
        <v>168</v>
      </c>
      <c r="AT76" s="2" t="s">
        <v>169</v>
      </c>
      <c r="AU76" s="2" t="s">
        <v>170</v>
      </c>
      <c r="AV76" s="6"/>
      <c r="AZ76">
        <v>1</v>
      </c>
      <c r="BA76" t="s">
        <v>185</v>
      </c>
    </row>
    <row r="77" spans="1:58" hidden="1">
      <c r="A77" s="10"/>
      <c r="AJ77" s="4">
        <f t="shared" ref="AJ77:AJ85" si="34">IF(AK77&gt;AU77,4,IF(AK77&lt;AR77,0,IF(AK77&lt;AS77,1,IF(AK77&lt;AT77,2,IF(AK77&lt;AU77,3,IF(AK77&lt;AR77,0))))))</f>
        <v>0</v>
      </c>
      <c r="AK77" s="13">
        <f>IF(AG15&lt;4,S15,0)</f>
        <v>0</v>
      </c>
      <c r="AL77" s="18" t="s">
        <v>10</v>
      </c>
      <c r="AM77" s="18"/>
      <c r="AN77" s="18"/>
      <c r="AO77" s="18"/>
      <c r="AP77" s="18"/>
      <c r="AQ77" s="19">
        <v>4.4999999999999998E-2</v>
      </c>
      <c r="AR77" s="5">
        <f t="shared" ref="AR77:AR85" si="35">160/AQ77</f>
        <v>3555.5555555555557</v>
      </c>
      <c r="AS77" s="5">
        <f>AR77*3</f>
        <v>10666.666666666668</v>
      </c>
      <c r="AT77" s="5">
        <f>AS77*1.5</f>
        <v>16000.000000000002</v>
      </c>
      <c r="AU77" s="5">
        <f>(AT77/9)*10</f>
        <v>17777.777777777781</v>
      </c>
      <c r="AV77" s="6"/>
      <c r="AZ77">
        <v>2</v>
      </c>
      <c r="BA77" t="s">
        <v>186</v>
      </c>
    </row>
    <row r="78" spans="1:58" hidden="1">
      <c r="A78" s="10"/>
      <c r="AJ78" s="4">
        <f t="shared" si="34"/>
        <v>0</v>
      </c>
      <c r="AK78" s="13">
        <f>IF(AG23&gt;4,S23,0)</f>
        <v>0</v>
      </c>
      <c r="AL78" s="18" t="s">
        <v>18</v>
      </c>
      <c r="AM78" s="18"/>
      <c r="AN78" s="18"/>
      <c r="AO78" s="18"/>
      <c r="AP78" s="18"/>
      <c r="AQ78" s="19">
        <v>0.3</v>
      </c>
      <c r="AR78" s="5">
        <f t="shared" si="35"/>
        <v>533.33333333333337</v>
      </c>
      <c r="AS78" s="5">
        <f t="shared" ref="AS78:AS85" si="36">AR78*3</f>
        <v>1600</v>
      </c>
      <c r="AT78" s="5">
        <f t="shared" ref="AT78:AT85" si="37">AS78*1.5</f>
        <v>2400</v>
      </c>
      <c r="AU78" s="5">
        <f t="shared" ref="AU78:AU85" si="38">(AT78/9)*10</f>
        <v>2666.666666666667</v>
      </c>
      <c r="AV78" s="6"/>
      <c r="AZ78">
        <v>3</v>
      </c>
      <c r="BA78" t="s">
        <v>187</v>
      </c>
    </row>
    <row r="79" spans="1:58" hidden="1">
      <c r="A79" s="10"/>
      <c r="AJ79" s="4">
        <f t="shared" si="34"/>
        <v>0</v>
      </c>
      <c r="AK79" s="13">
        <f>IF(AG32&gt;4,S32,0)</f>
        <v>0</v>
      </c>
      <c r="AL79" s="18" t="s">
        <v>12</v>
      </c>
      <c r="AM79" s="18"/>
      <c r="AN79" s="18"/>
      <c r="AO79" s="18"/>
      <c r="AP79" s="18"/>
      <c r="AQ79" s="19">
        <v>0.6</v>
      </c>
      <c r="AR79" s="5">
        <f t="shared" si="35"/>
        <v>266.66666666666669</v>
      </c>
      <c r="AS79" s="5">
        <f t="shared" si="36"/>
        <v>800</v>
      </c>
      <c r="AT79" s="5">
        <f t="shared" si="37"/>
        <v>1200</v>
      </c>
      <c r="AU79" s="5">
        <f t="shared" si="38"/>
        <v>1333.3333333333335</v>
      </c>
      <c r="AV79" s="6"/>
      <c r="AZ79">
        <v>4</v>
      </c>
      <c r="BA79" t="s">
        <v>188</v>
      </c>
    </row>
    <row r="80" spans="1:58" hidden="1">
      <c r="A80" s="10"/>
      <c r="AJ80" s="4">
        <f t="shared" si="34"/>
        <v>0</v>
      </c>
      <c r="AK80" s="13">
        <f>IF(AG7&gt;4,S7,0)</f>
        <v>77.636419374616807</v>
      </c>
      <c r="AL80" s="18" t="s">
        <v>20</v>
      </c>
      <c r="AM80" s="18"/>
      <c r="AN80" s="18"/>
      <c r="AO80" s="18"/>
      <c r="AP80" s="18"/>
      <c r="AQ80" s="19">
        <v>1</v>
      </c>
      <c r="AR80" s="5">
        <f t="shared" si="35"/>
        <v>160</v>
      </c>
      <c r="AS80" s="5">
        <f t="shared" si="36"/>
        <v>480</v>
      </c>
      <c r="AT80" s="5">
        <f t="shared" si="37"/>
        <v>720</v>
      </c>
      <c r="AU80" s="5">
        <f t="shared" si="38"/>
        <v>800</v>
      </c>
      <c r="AV80" s="6"/>
    </row>
    <row r="81" spans="1:54" hidden="1">
      <c r="A81" s="10"/>
      <c r="AJ81" s="4">
        <f t="shared" si="34"/>
        <v>0</v>
      </c>
      <c r="AK81" s="13">
        <f>IF(AG18&gt;4,S18,0)</f>
        <v>20.877542261539809</v>
      </c>
      <c r="AL81" s="18" t="s">
        <v>21</v>
      </c>
      <c r="AM81" s="18"/>
      <c r="AN81" s="18"/>
      <c r="AO81" s="18"/>
      <c r="AP81" s="18"/>
      <c r="AQ81" s="19">
        <v>1.7</v>
      </c>
      <c r="AR81" s="5">
        <f t="shared" si="35"/>
        <v>94.117647058823536</v>
      </c>
      <c r="AS81" s="5">
        <f t="shared" si="36"/>
        <v>282.35294117647061</v>
      </c>
      <c r="AT81" s="5">
        <f t="shared" si="37"/>
        <v>423.52941176470591</v>
      </c>
      <c r="AU81" s="5">
        <f t="shared" si="38"/>
        <v>470.58823529411768</v>
      </c>
      <c r="AV81" s="6"/>
    </row>
    <row r="82" spans="1:54" hidden="1">
      <c r="A82" s="10"/>
      <c r="AJ82" s="4">
        <f t="shared" si="34"/>
        <v>0</v>
      </c>
      <c r="AK82" s="13">
        <f>IF(AG6&gt;4,S6,0)</f>
        <v>1.0647280371376018</v>
      </c>
      <c r="AL82" s="18" t="s">
        <v>4</v>
      </c>
      <c r="AM82" s="18"/>
      <c r="AN82" s="18"/>
      <c r="AO82" s="18"/>
      <c r="AP82" s="18"/>
      <c r="AQ82" s="19">
        <v>2.2999999999999998</v>
      </c>
      <c r="AR82" s="5">
        <f t="shared" si="35"/>
        <v>69.565217391304358</v>
      </c>
      <c r="AS82" s="5">
        <f t="shared" si="36"/>
        <v>208.69565217391306</v>
      </c>
      <c r="AT82" s="5">
        <f t="shared" si="37"/>
        <v>313.04347826086962</v>
      </c>
      <c r="AU82" s="5">
        <f t="shared" si="38"/>
        <v>347.82608695652181</v>
      </c>
      <c r="AV82" s="6"/>
      <c r="BA82" t="s">
        <v>177</v>
      </c>
    </row>
    <row r="83" spans="1:54" hidden="1">
      <c r="A83" s="10"/>
      <c r="AA83" s="154" t="s">
        <v>290</v>
      </c>
      <c r="AB83" s="154" t="s">
        <v>318</v>
      </c>
      <c r="AC83" s="154" t="s">
        <v>319</v>
      </c>
      <c r="AD83" s="154" t="s">
        <v>316</v>
      </c>
      <c r="AE83" s="154" t="s">
        <v>328</v>
      </c>
      <c r="AF83" s="154" t="s">
        <v>321</v>
      </c>
      <c r="AG83" s="154" t="s">
        <v>322</v>
      </c>
      <c r="AI83" s="155"/>
      <c r="AJ83" s="155">
        <f t="shared" si="34"/>
        <v>0</v>
      </c>
      <c r="AK83" s="156">
        <f>IF(AG19&gt;4,S19,0)</f>
        <v>0.10647280371376018</v>
      </c>
      <c r="AL83" s="157" t="s">
        <v>15</v>
      </c>
      <c r="AM83" s="157"/>
      <c r="AN83" s="157"/>
      <c r="AO83" s="157"/>
      <c r="AP83" s="157"/>
      <c r="AQ83" s="158">
        <v>7.1</v>
      </c>
      <c r="AR83" s="155">
        <f t="shared" si="35"/>
        <v>22.535211267605636</v>
      </c>
      <c r="AS83" s="155">
        <f t="shared" si="36"/>
        <v>67.605633802816911</v>
      </c>
      <c r="AT83" s="155">
        <f t="shared" si="37"/>
        <v>101.40845070422537</v>
      </c>
      <c r="AU83" s="155">
        <f t="shared" si="38"/>
        <v>112.67605633802819</v>
      </c>
      <c r="AV83" s="155"/>
      <c r="AW83" s="155"/>
      <c r="AX83" s="155"/>
      <c r="AY83" s="155"/>
      <c r="AZ83" s="155"/>
      <c r="BA83" s="159">
        <f>IF(SUM(AT4:AT32)&gt;=1,1,0)</f>
        <v>0</v>
      </c>
      <c r="BB83" s="155"/>
    </row>
    <row r="84" spans="1:54" hidden="1">
      <c r="A84" s="10"/>
      <c r="AA84" s="155" t="s">
        <v>317</v>
      </c>
      <c r="AB84" s="155" t="s">
        <v>317</v>
      </c>
      <c r="AC84" s="155" t="s">
        <v>317</v>
      </c>
      <c r="AD84" s="155">
        <v>0</v>
      </c>
      <c r="AE84" s="155" t="str">
        <f>AA84&amp;AB84&amp;AC84&amp;AD84</f>
        <v>solidsolidsolid0</v>
      </c>
      <c r="AF84" s="155" t="s">
        <v>320</v>
      </c>
      <c r="AG84" s="155">
        <v>1</v>
      </c>
      <c r="AI84" s="155"/>
      <c r="AJ84" s="155">
        <f t="shared" si="34"/>
        <v>0</v>
      </c>
      <c r="AK84" s="156">
        <f>IF(AG30&gt;4,S30,0)</f>
        <v>0</v>
      </c>
      <c r="AL84" s="157" t="s">
        <v>89</v>
      </c>
      <c r="AM84" s="157"/>
      <c r="AN84" s="157"/>
      <c r="AO84" s="157"/>
      <c r="AP84" s="157"/>
      <c r="AQ84" s="158">
        <v>20</v>
      </c>
      <c r="AR84" s="155">
        <f t="shared" si="35"/>
        <v>8</v>
      </c>
      <c r="AS84" s="155">
        <f t="shared" si="36"/>
        <v>24</v>
      </c>
      <c r="AT84" s="155">
        <f t="shared" si="37"/>
        <v>36</v>
      </c>
      <c r="AU84" s="155">
        <f t="shared" si="38"/>
        <v>40</v>
      </c>
      <c r="AV84" s="155"/>
      <c r="AW84" s="155"/>
      <c r="AX84" s="155"/>
      <c r="AY84" s="155"/>
      <c r="AZ84" s="155"/>
      <c r="BA84" s="155"/>
      <c r="BB84" s="155"/>
    </row>
    <row r="85" spans="1:54" hidden="1">
      <c r="A85" s="10"/>
      <c r="AA85" s="155" t="s">
        <v>317</v>
      </c>
      <c r="AB85" s="155" t="s">
        <v>317</v>
      </c>
      <c r="AC85" s="155" t="s">
        <v>315</v>
      </c>
      <c r="AD85" s="155">
        <v>0</v>
      </c>
      <c r="AE85" s="155" t="str">
        <f t="shared" ref="AE85:AE95" si="39">AA85&amp;AB85&amp;AC85&amp;AD85</f>
        <v>solidsolidvapor0</v>
      </c>
      <c r="AF85" s="155" t="s">
        <v>340</v>
      </c>
      <c r="AG85" s="155">
        <v>2</v>
      </c>
      <c r="AI85" s="155"/>
      <c r="AJ85" s="155">
        <f t="shared" si="34"/>
        <v>0</v>
      </c>
      <c r="AK85" s="156">
        <f>IF(AG20&gt;4,S20,0)</f>
        <v>9.7600070070946829E-2</v>
      </c>
      <c r="AL85" s="157" t="s">
        <v>24</v>
      </c>
      <c r="AM85" s="157"/>
      <c r="AN85" s="157"/>
      <c r="AO85" s="157"/>
      <c r="AP85" s="157"/>
      <c r="AQ85" s="158">
        <v>25.6</v>
      </c>
      <c r="AR85" s="155">
        <f t="shared" si="35"/>
        <v>6.25</v>
      </c>
      <c r="AS85" s="155">
        <f t="shared" si="36"/>
        <v>18.75</v>
      </c>
      <c r="AT85" s="155">
        <f t="shared" si="37"/>
        <v>28.125</v>
      </c>
      <c r="AU85" s="155">
        <f t="shared" si="38"/>
        <v>31.25</v>
      </c>
      <c r="AV85" s="155"/>
      <c r="AW85" s="155"/>
      <c r="AX85" s="155"/>
      <c r="AY85" s="155"/>
      <c r="AZ85" s="155"/>
      <c r="BA85" s="155"/>
      <c r="BB85" s="155"/>
    </row>
    <row r="86" spans="1:54" hidden="1">
      <c r="A86" s="10"/>
      <c r="Z86" t="s">
        <v>230</v>
      </c>
      <c r="AA86" s="155" t="s">
        <v>317</v>
      </c>
      <c r="AB86" s="155" t="s">
        <v>317</v>
      </c>
      <c r="AC86" s="155" t="s">
        <v>314</v>
      </c>
      <c r="AD86" s="155">
        <v>0</v>
      </c>
      <c r="AE86" s="155" t="str">
        <f t="shared" si="39"/>
        <v>solidsolidgas0</v>
      </c>
      <c r="AF86" s="155" t="s">
        <v>323</v>
      </c>
      <c r="AG86" s="155">
        <v>10</v>
      </c>
      <c r="AI86" s="155"/>
      <c r="AJ86" s="155"/>
      <c r="AK86" s="155"/>
      <c r="AL86" s="155"/>
      <c r="AM86" s="155"/>
      <c r="AN86" s="155"/>
      <c r="AO86" s="155"/>
      <c r="AP86" s="155"/>
      <c r="AQ86" s="155"/>
      <c r="AR86" s="155">
        <v>1</v>
      </c>
      <c r="AS86" s="155">
        <v>2</v>
      </c>
      <c r="AT86" s="155">
        <v>3</v>
      </c>
      <c r="AU86" s="155">
        <v>4</v>
      </c>
      <c r="AV86" s="155"/>
      <c r="AW86" s="155"/>
      <c r="AX86" s="155"/>
      <c r="AY86" s="155"/>
      <c r="AZ86" s="155"/>
      <c r="BA86" s="155"/>
      <c r="BB86" s="155"/>
    </row>
    <row r="87" spans="1:54" hidden="1">
      <c r="A87" s="10"/>
      <c r="AA87" s="155" t="s">
        <v>317</v>
      </c>
      <c r="AB87" s="155" t="s">
        <v>315</v>
      </c>
      <c r="AC87" s="155" t="s">
        <v>315</v>
      </c>
      <c r="AD87" s="155">
        <v>0</v>
      </c>
      <c r="AE87" s="155" t="str">
        <f t="shared" si="39"/>
        <v>solidvaporvapor0</v>
      </c>
      <c r="AF87" s="155" t="s">
        <v>333</v>
      </c>
      <c r="AG87" s="155">
        <v>3</v>
      </c>
      <c r="AI87" s="155"/>
      <c r="AJ87" s="155">
        <f>MAX(AJ77:AJ85)</f>
        <v>0</v>
      </c>
      <c r="AK87" s="155">
        <v>0</v>
      </c>
      <c r="AL87" s="155" t="s">
        <v>171</v>
      </c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</row>
    <row r="88" spans="1:54" hidden="1">
      <c r="A88" s="10"/>
      <c r="Z88" t="s">
        <v>230</v>
      </c>
      <c r="AA88" s="155" t="s">
        <v>317</v>
      </c>
      <c r="AB88" s="155" t="s">
        <v>315</v>
      </c>
      <c r="AC88" s="155" t="s">
        <v>314</v>
      </c>
      <c r="AD88" s="155">
        <v>0</v>
      </c>
      <c r="AE88" s="155" t="str">
        <f t="shared" si="39"/>
        <v>solidvaporgas0</v>
      </c>
      <c r="AF88" s="155" t="s">
        <v>333</v>
      </c>
      <c r="AG88" s="155">
        <v>9</v>
      </c>
      <c r="AI88" s="155"/>
      <c r="AJ88" s="155"/>
      <c r="AK88" s="155">
        <v>1</v>
      </c>
      <c r="AL88" s="155" t="s">
        <v>192</v>
      </c>
      <c r="AM88" s="155"/>
      <c r="AN88" s="155"/>
      <c r="AO88" s="155"/>
      <c r="AP88" s="155"/>
      <c r="AQ88" s="155"/>
      <c r="AR88" s="155" t="s">
        <v>172</v>
      </c>
      <c r="AS88" s="155"/>
      <c r="AT88" s="155"/>
      <c r="AU88" s="155"/>
      <c r="AV88" s="155"/>
      <c r="AW88" s="155"/>
      <c r="AX88" s="155"/>
      <c r="AY88" s="155"/>
      <c r="AZ88" s="155" t="s">
        <v>193</v>
      </c>
      <c r="BA88" s="155"/>
      <c r="BB88" s="155"/>
    </row>
    <row r="89" spans="1:54" hidden="1">
      <c r="A89" s="10"/>
      <c r="Z89" t="s">
        <v>230</v>
      </c>
      <c r="AA89" s="155" t="s">
        <v>317</v>
      </c>
      <c r="AB89" s="155" t="s">
        <v>314</v>
      </c>
      <c r="AC89" s="155" t="s">
        <v>314</v>
      </c>
      <c r="AD89" s="155">
        <v>0</v>
      </c>
      <c r="AE89" s="155" t="str">
        <f t="shared" si="39"/>
        <v>solidgasgas0</v>
      </c>
      <c r="AF89" s="155" t="s">
        <v>324</v>
      </c>
      <c r="AG89" s="155">
        <v>8</v>
      </c>
      <c r="AI89" s="155"/>
      <c r="AJ89" s="155"/>
      <c r="AK89" s="155">
        <v>2</v>
      </c>
      <c r="AL89" s="155" t="s">
        <v>191</v>
      </c>
      <c r="AM89" s="155"/>
      <c r="AN89" s="155"/>
      <c r="AO89" s="155"/>
      <c r="AP89" s="155"/>
      <c r="AQ89" s="155"/>
      <c r="AR89" s="155" t="str">
        <f>INDEX(AK87:AL91,MATCH(AJ87,AK87:AK91,0),2)</f>
        <v>No effect</v>
      </c>
      <c r="AS89" s="155"/>
      <c r="AT89" s="155"/>
      <c r="AU89" s="155"/>
      <c r="AV89" s="155"/>
      <c r="AW89" s="155"/>
      <c r="AX89" s="155"/>
      <c r="AY89" s="155"/>
      <c r="AZ89" s="155" t="str">
        <f>IF(S18&gt;18,"Oxygenlevel ok",IF(S18&gt;13,"Oxygenlevel low","Insufficient Oxygen!"))</f>
        <v>Oxygenlevel ok</v>
      </c>
      <c r="BA89" s="155"/>
      <c r="BB89" s="155"/>
    </row>
    <row r="90" spans="1:54" hidden="1">
      <c r="A90" s="10"/>
      <c r="AA90" s="155" t="s">
        <v>315</v>
      </c>
      <c r="AB90" s="155" t="s">
        <v>315</v>
      </c>
      <c r="AC90" s="155" t="s">
        <v>315</v>
      </c>
      <c r="AD90" s="155">
        <v>0</v>
      </c>
      <c r="AE90" s="155" t="str">
        <f t="shared" si="39"/>
        <v>vaporvaporvapor0</v>
      </c>
      <c r="AF90" s="155" t="s">
        <v>332</v>
      </c>
      <c r="AG90" s="155">
        <v>4</v>
      </c>
      <c r="AI90" s="155"/>
      <c r="AJ90" s="155"/>
      <c r="AK90" s="155">
        <v>3</v>
      </c>
      <c r="AL90" s="155" t="s">
        <v>189</v>
      </c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</row>
    <row r="91" spans="1:54" hidden="1">
      <c r="A91" s="10"/>
      <c r="Z91" t="s">
        <v>230</v>
      </c>
      <c r="AA91" s="155" t="s">
        <v>315</v>
      </c>
      <c r="AB91" s="155" t="s">
        <v>315</v>
      </c>
      <c r="AC91" s="155" t="s">
        <v>314</v>
      </c>
      <c r="AD91" s="155">
        <v>0</v>
      </c>
      <c r="AE91" s="155" t="str">
        <f t="shared" si="39"/>
        <v>vaporvaporgas0</v>
      </c>
      <c r="AF91" s="155" t="s">
        <v>325</v>
      </c>
      <c r="AG91" s="155">
        <v>7</v>
      </c>
      <c r="AI91" s="155"/>
      <c r="AJ91" s="155"/>
      <c r="AK91" s="155">
        <v>4</v>
      </c>
      <c r="AL91" s="155" t="s">
        <v>190</v>
      </c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</row>
    <row r="92" spans="1:54" hidden="1">
      <c r="A92" s="10"/>
      <c r="Z92" t="s">
        <v>230</v>
      </c>
      <c r="AA92" s="155" t="s">
        <v>315</v>
      </c>
      <c r="AB92" s="155" t="s">
        <v>314</v>
      </c>
      <c r="AC92" s="155" t="s">
        <v>314</v>
      </c>
      <c r="AD92" s="155">
        <v>0</v>
      </c>
      <c r="AE92" s="155" t="str">
        <f t="shared" si="39"/>
        <v>vaporgasgas0</v>
      </c>
      <c r="AF92" s="155" t="s">
        <v>326</v>
      </c>
      <c r="AG92" s="155">
        <v>5</v>
      </c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 t="s">
        <v>198</v>
      </c>
      <c r="BA92" s="155"/>
      <c r="BB92" s="155"/>
    </row>
    <row r="93" spans="1:54" hidden="1">
      <c r="A93" s="10"/>
      <c r="Z93" t="s">
        <v>230</v>
      </c>
      <c r="AA93" s="155" t="s">
        <v>314</v>
      </c>
      <c r="AB93" s="155" t="s">
        <v>314</v>
      </c>
      <c r="AC93" s="155" t="s">
        <v>314</v>
      </c>
      <c r="AD93" s="155">
        <v>0</v>
      </c>
      <c r="AE93" s="155" t="str">
        <f t="shared" si="39"/>
        <v>gasgasgas0</v>
      </c>
      <c r="AF93" s="155" t="s">
        <v>50</v>
      </c>
      <c r="AG93" s="155">
        <v>6</v>
      </c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 t="str">
        <f>IF(R40&gt;60,"Too hot",IF(R40&lt;-40,"Too Cold","Temperature ok"))</f>
        <v>Temperature ok</v>
      </c>
      <c r="BA93" s="155"/>
      <c r="BB93" s="155"/>
    </row>
    <row r="94" spans="1:54" hidden="1">
      <c r="A94" s="10"/>
      <c r="Z94" t="s">
        <v>230</v>
      </c>
      <c r="AA94" s="159" t="s">
        <v>317</v>
      </c>
      <c r="AB94" s="159" t="s">
        <v>314</v>
      </c>
      <c r="AC94" s="159" t="s">
        <v>314</v>
      </c>
      <c r="AD94" s="159">
        <v>1</v>
      </c>
      <c r="AE94" s="159" t="str">
        <f t="shared" si="39"/>
        <v>solidgasgas1</v>
      </c>
      <c r="AF94" s="159" t="s">
        <v>327</v>
      </c>
      <c r="AG94" s="159">
        <v>11</v>
      </c>
      <c r="AI94" s="155"/>
      <c r="AJ94" s="155"/>
      <c r="AK94" s="155" t="s">
        <v>194</v>
      </c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</row>
    <row r="95" spans="1:54" hidden="1">
      <c r="A95" s="10"/>
      <c r="Z95" t="s">
        <v>230</v>
      </c>
      <c r="AA95" s="159" t="s">
        <v>317</v>
      </c>
      <c r="AB95" s="159" t="s">
        <v>317</v>
      </c>
      <c r="AC95" s="159" t="s">
        <v>314</v>
      </c>
      <c r="AD95" s="159">
        <v>1</v>
      </c>
      <c r="AE95" s="159" t="str">
        <f t="shared" si="39"/>
        <v>solidsolidgas1</v>
      </c>
      <c r="AF95" s="159" t="s">
        <v>329</v>
      </c>
      <c r="AG95" s="159">
        <v>12</v>
      </c>
      <c r="AI95" s="155"/>
      <c r="AJ95" s="155"/>
      <c r="AK95" s="155">
        <f>IF(AP34=0,1,0)</f>
        <v>1</v>
      </c>
      <c r="AL95" s="155" t="str">
        <f>IF(AP34&lt;1,"This atmosphere has no known toxic elements","This Atmosphere might contain elements that are "&amp;INDEX(AZ75:BA79,MATCH(AP34,AZ75:AZ79,0),2)&amp;"!")</f>
        <v>This atmosphere has no known toxic elements</v>
      </c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</row>
    <row r="96" spans="1:54" hidden="1">
      <c r="A96" s="10"/>
      <c r="AA96" s="160" t="s">
        <v>330</v>
      </c>
      <c r="AB96" s="160" t="s">
        <v>330</v>
      </c>
      <c r="AC96" s="160" t="s">
        <v>330</v>
      </c>
      <c r="AD96" s="160">
        <v>0</v>
      </c>
      <c r="AE96" s="161" t="s">
        <v>331</v>
      </c>
      <c r="AF96" s="160" t="str">
        <f>"-"</f>
        <v>-</v>
      </c>
      <c r="AG96" s="160">
        <v>0</v>
      </c>
      <c r="AK96">
        <f>IF(AJ87=0,1,0)</f>
        <v>1</v>
      </c>
      <c r="AL96" t="str">
        <f>IF(AJ87=0,"This atmosphere contains no hallucinogenic gases","This atmosphere contains hallucinogenic gases that "&amp;AR89)</f>
        <v>This atmosphere contains no hallucinogenic gases</v>
      </c>
    </row>
    <row r="97" spans="1:43" hidden="1">
      <c r="A97" s="10"/>
      <c r="AK97">
        <f>IF(S18&gt;18,1,0)</f>
        <v>1</v>
      </c>
      <c r="AL97" t="str">
        <f>AZ89</f>
        <v>Oxygenlevel ok</v>
      </c>
    </row>
    <row r="98" spans="1:43" hidden="1">
      <c r="A98" s="10"/>
      <c r="AK98">
        <f>IF(BA83=0,1,0)</f>
        <v>1</v>
      </c>
      <c r="AL98" t="str">
        <f>IF(BA83=0,"-","Risk of heavier elements depriving lover atmospheric elements of oxygen")</f>
        <v>-</v>
      </c>
    </row>
    <row r="99" spans="1:43" hidden="1">
      <c r="A99" s="10"/>
      <c r="AK99">
        <f>IF(AZ93="Temperature ok",1,0)</f>
        <v>1</v>
      </c>
      <c r="AL99" t="str">
        <f>AZ93</f>
        <v>Temperature ok</v>
      </c>
    </row>
    <row r="100" spans="1:43" hidden="1">
      <c r="A100" s="10"/>
      <c r="AK100">
        <f>I67</f>
        <v>1</v>
      </c>
      <c r="AL100" t="str">
        <f>J70</f>
        <v>-</v>
      </c>
    </row>
    <row r="101" spans="1:43" hidden="1">
      <c r="A101" s="10"/>
      <c r="AK101">
        <f>AC61</f>
        <v>1</v>
      </c>
      <c r="AL101" t="str">
        <f>AC59</f>
        <v>Gravity level is comfortable</v>
      </c>
    </row>
    <row r="102" spans="1:43" hidden="1">
      <c r="A102" s="10"/>
      <c r="AK102">
        <f>SUM(AK95:AK101)</f>
        <v>7</v>
      </c>
    </row>
    <row r="103" spans="1:43" hidden="1">
      <c r="A103" s="10"/>
      <c r="AL103" s="5"/>
      <c r="AM103" s="5"/>
      <c r="AN103" s="5"/>
      <c r="AO103" s="5"/>
      <c r="AP103" s="5"/>
      <c r="AQ103" s="5"/>
    </row>
    <row r="104" spans="1:43" hidden="1">
      <c r="A104" s="10"/>
      <c r="AL104" s="5" t="s">
        <v>208</v>
      </c>
      <c r="AM104" s="5"/>
      <c r="AN104" s="5"/>
      <c r="AO104" s="5"/>
      <c r="AP104" s="5" t="s">
        <v>209</v>
      </c>
    </row>
    <row r="105" spans="1:43" hidden="1">
      <c r="A105" s="10"/>
      <c r="AL105" s="5">
        <v>23</v>
      </c>
      <c r="AM105" s="5">
        <v>56</v>
      </c>
      <c r="AN105" s="5"/>
      <c r="AO105" s="5"/>
      <c r="AP105" s="5">
        <v>4</v>
      </c>
    </row>
    <row r="106" spans="1:43" hidden="1">
      <c r="A106" s="10"/>
      <c r="AL106" s="5" t="s">
        <v>203</v>
      </c>
      <c r="AM106" s="5">
        <f>AL105/24+AM105/(24*60)+AP105/(24*60*60)</f>
        <v>0.9972685185185185</v>
      </c>
      <c r="AN106" s="5"/>
      <c r="AO106" s="5"/>
      <c r="AP106" s="5"/>
    </row>
    <row r="107" spans="1:43" hidden="1">
      <c r="A107" s="10"/>
      <c r="AL107" s="5"/>
      <c r="AM107" s="5"/>
      <c r="AN107" s="5"/>
      <c r="AO107" s="5"/>
      <c r="AP107" s="5"/>
      <c r="AQ107" s="5"/>
    </row>
    <row r="108" spans="1:43" hidden="1">
      <c r="A108" s="10"/>
    </row>
    <row r="109" spans="1:43" hidden="1">
      <c r="A109" s="10"/>
    </row>
  </sheetData>
  <sheetProtection sheet="1" objects="1" scenarios="1"/>
  <mergeCells count="10">
    <mergeCell ref="B48:F48"/>
    <mergeCell ref="B51:F51"/>
    <mergeCell ref="B52:F52"/>
    <mergeCell ref="B58:F58"/>
    <mergeCell ref="BC27:BE27"/>
    <mergeCell ref="BC28:BE28"/>
    <mergeCell ref="BC29:BE29"/>
    <mergeCell ref="BC30:BE30"/>
    <mergeCell ref="BC31:BE31"/>
    <mergeCell ref="BC32:BE32"/>
  </mergeCells>
  <dataValidations count="1">
    <dataValidation type="list" allowBlank="1" showInputMessage="1" showErrorMessage="1" sqref="AH35">
      <formula1>"Km,AU"</formula1>
    </dataValidation>
  </dataValidations>
  <hyperlinks>
    <hyperlink ref="AL85" r:id="rId1" tooltip="Xenon" display="https://en.wikipedia.org/wiki/Xenon"/>
    <hyperlink ref="AL84" r:id="rId2" tooltip="Carbon dioxide" display="https://en.wikipedia.org/wiki/Carbon_dioxide"/>
    <hyperlink ref="AL83" r:id="rId3" tooltip="Krypton" display="https://en.wikipedia.org/wiki/Krypton"/>
    <hyperlink ref="AL82" r:id="rId4" tooltip="Argon" display="https://en.wikipedia.org/wiki/Argon"/>
    <hyperlink ref="AL81" r:id="rId5" tooltip="Oxygen" display="https://en.wikipedia.org/wiki/Oxygen"/>
    <hyperlink ref="AL80" r:id="rId6" tooltip="Nitrogen" display="https://en.wikipedia.org/wiki/Nitrogen"/>
    <hyperlink ref="AL79" r:id="rId7" tooltip="Hydrogen" display="https://en.wikipedia.org/wiki/Hydrogen"/>
    <hyperlink ref="AL78" r:id="rId8" tooltip="Neon" display="https://en.wikipedia.org/wiki/Neon"/>
    <hyperlink ref="AL77" r:id="rId9" tooltip="Helium" display="https://en.wikipedia.org/wiki/Helium"/>
  </hyperlinks>
  <pageMargins left="0.7" right="0.7" top="0.75" bottom="0.75" header="0.3" footer="0.3"/>
  <pageSetup paperSize="9" orientation="portrait" horizontalDpi="4294967293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Analyser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LKWIN7</cp:lastModifiedBy>
  <dcterms:created xsi:type="dcterms:W3CDTF">2016-01-21T13:11:46Z</dcterms:created>
  <dcterms:modified xsi:type="dcterms:W3CDTF">2016-03-21T07:15:59Z</dcterms:modified>
</cp:coreProperties>
</file>