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Test" sheetId="1" r:id="rId1"/>
  </sheets>
  <calcPr calcId="125725"/>
</workbook>
</file>

<file path=xl/calcChain.xml><?xml version="1.0" encoding="utf-8"?>
<calcChain xmlns="http://schemas.openxmlformats.org/spreadsheetml/2006/main">
  <c r="R37" i="1"/>
  <c r="F37"/>
  <c r="R36"/>
  <c r="R35"/>
  <c r="O34"/>
  <c r="P32" s="1"/>
  <c r="Q32" s="1"/>
  <c r="U33"/>
  <c r="L33"/>
  <c r="U32"/>
  <c r="L32"/>
  <c r="J32"/>
  <c r="U31"/>
  <c r="L31"/>
  <c r="J31"/>
  <c r="U30"/>
  <c r="L30"/>
  <c r="J30"/>
  <c r="U29"/>
  <c r="L29"/>
  <c r="J29"/>
  <c r="U28"/>
  <c r="L28"/>
  <c r="J28"/>
  <c r="U27"/>
  <c r="L27"/>
  <c r="J27"/>
  <c r="U26"/>
  <c r="L26"/>
  <c r="J26"/>
  <c r="U25"/>
  <c r="L25"/>
  <c r="J25"/>
  <c r="U24"/>
  <c r="L24"/>
  <c r="U23"/>
  <c r="L23"/>
  <c r="J23"/>
  <c r="U22"/>
  <c r="L22"/>
  <c r="J22"/>
  <c r="U21"/>
  <c r="L21"/>
  <c r="J21"/>
  <c r="U20"/>
  <c r="L20"/>
  <c r="J20"/>
  <c r="U19"/>
  <c r="L19"/>
  <c r="J19"/>
  <c r="U18"/>
  <c r="L18"/>
  <c r="J18"/>
  <c r="U17"/>
  <c r="L17"/>
  <c r="J17"/>
  <c r="U16"/>
  <c r="L16"/>
  <c r="J16"/>
  <c r="U15"/>
  <c r="L15"/>
  <c r="J15"/>
  <c r="U14"/>
  <c r="L14"/>
  <c r="U13"/>
  <c r="L13"/>
  <c r="U12"/>
  <c r="L12"/>
  <c r="J12"/>
  <c r="U11"/>
  <c r="L11"/>
  <c r="J11"/>
  <c r="U10"/>
  <c r="L10"/>
  <c r="I10"/>
  <c r="U9"/>
  <c r="L9"/>
  <c r="J9"/>
  <c r="U8"/>
  <c r="L8"/>
  <c r="J8"/>
  <c r="U7"/>
  <c r="L7"/>
  <c r="J7"/>
  <c r="U6"/>
  <c r="L6"/>
  <c r="J6"/>
  <c r="U5"/>
  <c r="L5"/>
  <c r="J5"/>
  <c r="L4"/>
  <c r="J4"/>
  <c r="W3"/>
  <c r="P33" l="1"/>
  <c r="P10"/>
  <c r="R10" s="1"/>
  <c r="S10" s="1"/>
  <c r="P20"/>
  <c r="V20" s="1"/>
  <c r="W20" s="1"/>
  <c r="P30"/>
  <c r="V30" s="1"/>
  <c r="W30" s="1"/>
  <c r="P8"/>
  <c r="Q8" s="1"/>
  <c r="P12"/>
  <c r="V12" s="1"/>
  <c r="W12" s="1"/>
  <c r="P15"/>
  <c r="T15" s="1"/>
  <c r="P5"/>
  <c r="V5" s="1"/>
  <c r="W5" s="1"/>
  <c r="P7"/>
  <c r="T7" s="1"/>
  <c r="P23"/>
  <c r="Q23" s="1"/>
  <c r="P6"/>
  <c r="T6" s="1"/>
  <c r="P21"/>
  <c r="P16"/>
  <c r="T16" s="1"/>
  <c r="P14"/>
  <c r="T14" s="1"/>
  <c r="P17"/>
  <c r="R17" s="1"/>
  <c r="S17" s="1"/>
  <c r="P19"/>
  <c r="T19" s="1"/>
  <c r="P22"/>
  <c r="V22" s="1"/>
  <c r="W22" s="1"/>
  <c r="P24"/>
  <c r="Q24" s="1"/>
  <c r="P29"/>
  <c r="Q29" s="1"/>
  <c r="P4"/>
  <c r="P9"/>
  <c r="V9" s="1"/>
  <c r="W9" s="1"/>
  <c r="P27"/>
  <c r="T27" s="1"/>
  <c r="P28"/>
  <c r="Q28" s="1"/>
  <c r="P11"/>
  <c r="P13"/>
  <c r="R13" s="1"/>
  <c r="S13" s="1"/>
  <c r="P18"/>
  <c r="V18" s="1"/>
  <c r="W18" s="1"/>
  <c r="P25"/>
  <c r="T25" s="1"/>
  <c r="P26"/>
  <c r="R26" s="1"/>
  <c r="S26" s="1"/>
  <c r="P31"/>
  <c r="T31" s="1"/>
  <c r="V32"/>
  <c r="W32" s="1"/>
  <c r="H38"/>
  <c r="R32"/>
  <c r="S32" s="1"/>
  <c r="T32"/>
  <c r="R5" l="1"/>
  <c r="S5" s="1"/>
  <c r="V10"/>
  <c r="W10" s="1"/>
  <c r="T5"/>
  <c r="V15"/>
  <c r="W15" s="1"/>
  <c r="Q12"/>
  <c r="R20"/>
  <c r="S20" s="1"/>
  <c r="R22"/>
  <c r="S22" s="1"/>
  <c r="Q20"/>
  <c r="T20"/>
  <c r="Q5"/>
  <c r="R30"/>
  <c r="S30" s="1"/>
  <c r="R12"/>
  <c r="S12" s="1"/>
  <c r="Q22"/>
  <c r="T12"/>
  <c r="T10"/>
  <c r="R24"/>
  <c r="S24" s="1"/>
  <c r="Q9"/>
  <c r="T30"/>
  <c r="V7"/>
  <c r="W7" s="1"/>
  <c r="Q10"/>
  <c r="T22"/>
  <c r="V29"/>
  <c r="W29" s="1"/>
  <c r="Q33"/>
  <c r="R33"/>
  <c r="S33" s="1"/>
  <c r="T33"/>
  <c r="R23"/>
  <c r="S23" s="1"/>
  <c r="V23"/>
  <c r="W23" s="1"/>
  <c r="T24"/>
  <c r="R7"/>
  <c r="S7" s="1"/>
  <c r="V33"/>
  <c r="W33" s="1"/>
  <c r="V24"/>
  <c r="W24" s="1"/>
  <c r="T29"/>
  <c r="Q30"/>
  <c r="R29"/>
  <c r="S29" s="1"/>
  <c r="V8"/>
  <c r="W8" s="1"/>
  <c r="R8"/>
  <c r="S8" s="1"/>
  <c r="T8"/>
  <c r="T9"/>
  <c r="Q7"/>
  <c r="R15"/>
  <c r="S15" s="1"/>
  <c r="Q15"/>
  <c r="T23"/>
  <c r="R6"/>
  <c r="S6" s="1"/>
  <c r="V6"/>
  <c r="W6" s="1"/>
  <c r="V21"/>
  <c r="W21" s="1"/>
  <c r="Q21"/>
  <c r="T21"/>
  <c r="V14"/>
  <c r="W14" s="1"/>
  <c r="Q6"/>
  <c r="V17"/>
  <c r="W17" s="1"/>
  <c r="Q17"/>
  <c r="R19"/>
  <c r="S19" s="1"/>
  <c r="Q19"/>
  <c r="V19"/>
  <c r="W19" s="1"/>
  <c r="Q16"/>
  <c r="R16"/>
  <c r="S16" s="1"/>
  <c r="V16"/>
  <c r="W16" s="1"/>
  <c r="R14"/>
  <c r="S14" s="1"/>
  <c r="R21"/>
  <c r="S21" s="1"/>
  <c r="Q14"/>
  <c r="T17"/>
  <c r="R4"/>
  <c r="Q4"/>
  <c r="Q31"/>
  <c r="V31"/>
  <c r="W31" s="1"/>
  <c r="R31"/>
  <c r="S31" s="1"/>
  <c r="Q11"/>
  <c r="T11"/>
  <c r="V11"/>
  <c r="W11" s="1"/>
  <c r="R11"/>
  <c r="S11" s="1"/>
  <c r="V13"/>
  <c r="W13" s="1"/>
  <c r="Q13"/>
  <c r="T13"/>
  <c r="R27"/>
  <c r="S27" s="1"/>
  <c r="V27"/>
  <c r="W27" s="1"/>
  <c r="Q27"/>
  <c r="T28"/>
  <c r="R18"/>
  <c r="S18" s="1"/>
  <c r="Q18"/>
  <c r="R9"/>
  <c r="S9" s="1"/>
  <c r="Q25"/>
  <c r="R25"/>
  <c r="S25" s="1"/>
  <c r="V25"/>
  <c r="W25" s="1"/>
  <c r="V26"/>
  <c r="W26" s="1"/>
  <c r="Q26"/>
  <c r="T26"/>
  <c r="R28"/>
  <c r="S28" s="1"/>
  <c r="V28"/>
  <c r="W28" s="1"/>
  <c r="T18"/>
  <c r="T4"/>
  <c r="T34" l="1"/>
  <c r="T36" s="1"/>
  <c r="P39" s="1"/>
  <c r="S4"/>
  <c r="S34" s="1"/>
  <c r="P41" s="1"/>
  <c r="P42" s="1"/>
  <c r="R34"/>
  <c r="P40" s="1"/>
  <c r="P43" s="1"/>
  <c r="P44" l="1"/>
  <c r="F38"/>
  <c r="H40" s="1"/>
  <c r="H41" s="1"/>
  <c r="H42" s="1"/>
  <c r="J42" l="1"/>
  <c r="P45" s="1"/>
  <c r="J43"/>
  <c r="P46" s="1"/>
</calcChain>
</file>

<file path=xl/sharedStrings.xml><?xml version="1.0" encoding="utf-8"?>
<sst xmlns="http://schemas.openxmlformats.org/spreadsheetml/2006/main" count="148" uniqueCount="127">
  <si>
    <t>Density</t>
  </si>
  <si>
    <t>Molar Mass</t>
  </si>
  <si>
    <t>Gas Constant</t>
  </si>
  <si>
    <t>Spec heat Cp</t>
  </si>
  <si>
    <t>Spec heat Cv</t>
  </si>
  <si>
    <t>Spec heat ratio</t>
  </si>
  <si>
    <t>Viscosity</t>
  </si>
  <si>
    <t>Mol/kg</t>
  </si>
  <si>
    <t>Boling point 1 atm (K)</t>
  </si>
  <si>
    <t>Heat evap (kj mol^-1)</t>
  </si>
  <si>
    <t>Parts pr. total</t>
  </si>
  <si>
    <t>Partial Pressure</t>
  </si>
  <si>
    <t>Air Mass</t>
  </si>
  <si>
    <t xml:space="preserve"> S G constant</t>
  </si>
  <si>
    <t>Y (spec heat ratio)</t>
  </si>
  <si>
    <t>Boiling point</t>
  </si>
  <si>
    <t>Phase</t>
  </si>
  <si>
    <t>Gas</t>
  </si>
  <si>
    <t>Symbol</t>
  </si>
  <si>
    <r>
      <t>[kg/m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</si>
  <si>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t>[g/mol]</t>
  </si>
  <si>
    <t>[J/kg*K]</t>
  </si>
  <si>
    <t>[-]</t>
  </si>
  <si>
    <r>
      <t>[Pa*s] - 0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C and 1 bar</t>
    </r>
  </si>
  <si>
    <t>%</t>
  </si>
  <si>
    <t>Kpa</t>
  </si>
  <si>
    <t>Gas/Vapor</t>
  </si>
  <si>
    <t>Acethylene</t>
  </si>
  <si>
    <t>C2H2</t>
  </si>
  <si>
    <t>Ammonia</t>
  </si>
  <si>
    <t>NH3</t>
  </si>
  <si>
    <t>Argon</t>
  </si>
  <si>
    <t>Ar</t>
  </si>
  <si>
    <t>Nitrogen</t>
  </si>
  <si>
    <t>N2</t>
  </si>
  <si>
    <t>Nitrogen Oxide</t>
  </si>
  <si>
    <t>NO</t>
  </si>
  <si>
    <t>Butane</t>
  </si>
  <si>
    <t>C4H10</t>
  </si>
  <si>
    <t>i-Butane</t>
  </si>
  <si>
    <t>Ethane</t>
  </si>
  <si>
    <t>C2H6</t>
  </si>
  <si>
    <t>Ethylene</t>
  </si>
  <si>
    <t>C2H4</t>
  </si>
  <si>
    <t>Ethyl Ether</t>
  </si>
  <si>
    <t>-</t>
  </si>
  <si>
    <t>Ethyl Chloride</t>
  </si>
  <si>
    <t>C2H5Cl</t>
  </si>
  <si>
    <t>Helium</t>
  </si>
  <si>
    <t>He</t>
  </si>
  <si>
    <t>Chlor</t>
  </si>
  <si>
    <t>Cl2</t>
  </si>
  <si>
    <t>Hydrogen Chloride</t>
  </si>
  <si>
    <t>HCl</t>
  </si>
  <si>
    <t>Oxygen</t>
  </si>
  <si>
    <t>O2</t>
  </si>
  <si>
    <t>Krypton</t>
  </si>
  <si>
    <t>Kr</t>
  </si>
  <si>
    <t>Xenon</t>
  </si>
  <si>
    <t>Xe</t>
  </si>
  <si>
    <t>Methane</t>
  </si>
  <si>
    <t>CH4</t>
  </si>
  <si>
    <t>Methyl Chloride</t>
  </si>
  <si>
    <t>CH3Cl</t>
  </si>
  <si>
    <t>Neon</t>
  </si>
  <si>
    <t>Ne</t>
  </si>
  <si>
    <t>Ozone</t>
  </si>
  <si>
    <t>O3</t>
  </si>
  <si>
    <t>Pentane</t>
  </si>
  <si>
    <t>C5H12</t>
  </si>
  <si>
    <t>Propane</t>
  </si>
  <si>
    <t>C3H8</t>
  </si>
  <si>
    <t>Propene</t>
  </si>
  <si>
    <t>C3H6</t>
  </si>
  <si>
    <t>Sulphur Dioxide</t>
  </si>
  <si>
    <t>SO2</t>
  </si>
  <si>
    <t>Sulphur Hydrogen</t>
  </si>
  <si>
    <t>H2S</t>
  </si>
  <si>
    <t>Carbon Dioxide</t>
  </si>
  <si>
    <t>CO2</t>
  </si>
  <si>
    <t>Carbon Monoxide</t>
  </si>
  <si>
    <t>CO</t>
  </si>
  <si>
    <t>Hydrogen</t>
  </si>
  <si>
    <t>H2</t>
  </si>
  <si>
    <t>Water</t>
  </si>
  <si>
    <t>H2O</t>
  </si>
  <si>
    <t>total</t>
  </si>
  <si>
    <t xml:space="preserve">MSL Pressure </t>
  </si>
  <si>
    <t>(Pascal)</t>
  </si>
  <si>
    <t>Speed Sound</t>
  </si>
  <si>
    <t>Atm</t>
  </si>
  <si>
    <t xml:space="preserve">MSL Temperature </t>
  </si>
  <si>
    <t>Universal Gas Constant</t>
  </si>
  <si>
    <t>Earth Mass</t>
  </si>
  <si>
    <t>Earth atmos mass</t>
  </si>
  <si>
    <t>(kelvin)</t>
  </si>
  <si>
    <t>Celcius</t>
  </si>
  <si>
    <t>Gravity Acc.</t>
  </si>
  <si>
    <t>radius planet</t>
  </si>
  <si>
    <t>m/s^2</t>
  </si>
  <si>
    <t>m/s</t>
  </si>
  <si>
    <t>g</t>
  </si>
  <si>
    <t>Planet Diameter</t>
  </si>
  <si>
    <t>r plan + H atm</t>
  </si>
  <si>
    <t>Volume of planet</t>
  </si>
  <si>
    <t>km</t>
  </si>
  <si>
    <t>Speed of Sound</t>
  </si>
  <si>
    <t>[m/s]</t>
  </si>
  <si>
    <t>Avarage Athmosphere Molar Mass</t>
  </si>
  <si>
    <t>Volume pl + atm</t>
  </si>
  <si>
    <t>Dry air gas constant</t>
  </si>
  <si>
    <t>Local atmosphere Gas Constant</t>
  </si>
  <si>
    <t>diff (= vol H atmos)</t>
  </si>
  <si>
    <t>m^3</t>
  </si>
  <si>
    <t>Air Density at sea level (reference level)</t>
  </si>
  <si>
    <t>atmosphere weight</t>
  </si>
  <si>
    <t>kg</t>
  </si>
  <si>
    <t>eart mass</t>
  </si>
  <si>
    <t>[kg/m^3]</t>
  </si>
  <si>
    <t>Scale Height</t>
  </si>
  <si>
    <t>Earth atmosphere masses</t>
  </si>
  <si>
    <t>[km]</t>
  </si>
  <si>
    <t>Atmosphere Height (0.0001% p)</t>
  </si>
  <si>
    <t>Atmosphere Weight</t>
  </si>
  <si>
    <t>[M (earth)]</t>
  </si>
  <si>
    <t>Atmosphere weight relative to Earth atm weight</t>
  </si>
  <si>
    <t>[M(eam)]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</si>
</sst>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000000000000000"/>
    <numFmt numFmtId="166" formatCode="0.0000000"/>
    <numFmt numFmtId="167" formatCode="0.00000%"/>
    <numFmt numFmtId="168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wrapText="1"/>
      <protection locked="0"/>
    </xf>
    <xf numFmtId="164" fontId="0" fillId="0" borderId="0" xfId="0" applyNumberFormat="1" applyBorder="1" applyAlignment="1" applyProtection="1">
      <alignment wrapText="1"/>
      <protection locked="0"/>
    </xf>
    <xf numFmtId="165" fontId="0" fillId="0" borderId="0" xfId="0" applyNumberFormat="1" applyBorder="1" applyAlignment="1" applyProtection="1">
      <alignment wrapText="1"/>
      <protection locked="0"/>
    </xf>
    <xf numFmtId="2" fontId="0" fillId="0" borderId="0" xfId="0" applyNumberFormat="1" applyBorder="1" applyProtection="1">
      <protection locked="0"/>
    </xf>
    <xf numFmtId="166" fontId="4" fillId="0" borderId="0" xfId="0" applyNumberFormat="1" applyFont="1" applyBorder="1" applyProtection="1">
      <protection locked="0"/>
    </xf>
    <xf numFmtId="11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166" fontId="4" fillId="0" borderId="2" xfId="0" applyNumberFormat="1" applyFont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0" fontId="0" fillId="0" borderId="3" xfId="0" applyBorder="1" applyProtection="1"/>
    <xf numFmtId="0" fontId="0" fillId="0" borderId="4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0" fillId="0" borderId="0" xfId="0" applyFill="1" applyBorder="1" applyProtection="1"/>
    <xf numFmtId="0" fontId="0" fillId="0" borderId="5" xfId="0" applyBorder="1" applyProtection="1"/>
    <xf numFmtId="0" fontId="0" fillId="0" borderId="4" xfId="0" applyFont="1" applyFill="1" applyBorder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left" wrapText="1"/>
    </xf>
    <xf numFmtId="11" fontId="0" fillId="0" borderId="0" xfId="0" applyNumberFormat="1" applyBorder="1" applyProtection="1"/>
    <xf numFmtId="0" fontId="0" fillId="0" borderId="4" xfId="0" applyFont="1" applyBorder="1" applyAlignment="1" applyProtection="1">
      <alignment horizontal="left"/>
    </xf>
    <xf numFmtId="0" fontId="0" fillId="0" borderId="0" xfId="0" applyFont="1" applyBorder="1" applyProtection="1"/>
    <xf numFmtId="2" fontId="0" fillId="0" borderId="0" xfId="0" applyNumberFormat="1" applyBorder="1" applyProtection="1"/>
    <xf numFmtId="164" fontId="0" fillId="0" borderId="0" xfId="0" applyNumberFormat="1" applyFont="1" applyBorder="1" applyProtection="1"/>
    <xf numFmtId="167" fontId="0" fillId="0" borderId="0" xfId="1" applyNumberFormat="1" applyFont="1" applyBorder="1" applyProtection="1"/>
    <xf numFmtId="0" fontId="0" fillId="0" borderId="5" xfId="0" applyFill="1" applyBorder="1" applyProtection="1"/>
    <xf numFmtId="0" fontId="0" fillId="0" borderId="8" xfId="0" applyFont="1" applyBorder="1" applyAlignment="1" applyProtection="1">
      <alignment horizontal="left"/>
    </xf>
    <xf numFmtId="0" fontId="0" fillId="0" borderId="9" xfId="0" applyFont="1" applyBorder="1" applyProtection="1"/>
    <xf numFmtId="0" fontId="0" fillId="0" borderId="9" xfId="0" applyBorder="1" applyProtection="1"/>
    <xf numFmtId="2" fontId="0" fillId="0" borderId="9" xfId="0" applyNumberFormat="1" applyBorder="1" applyProtection="1"/>
    <xf numFmtId="0" fontId="0" fillId="0" borderId="10" xfId="0" applyFill="1" applyBorder="1" applyProtection="1"/>
    <xf numFmtId="0" fontId="0" fillId="0" borderId="4" xfId="0" applyFont="1" applyFill="1" applyBorder="1" applyAlignment="1" applyProtection="1">
      <alignment wrapText="1"/>
    </xf>
    <xf numFmtId="0" fontId="0" fillId="0" borderId="1" xfId="0" applyBorder="1" applyAlignment="1" applyProtection="1">
      <alignment horizontal="left"/>
    </xf>
    <xf numFmtId="0" fontId="2" fillId="0" borderId="4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wrapText="1"/>
    </xf>
    <xf numFmtId="0" fontId="0" fillId="0" borderId="4" xfId="0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5" xfId="0" applyFont="1" applyBorder="1" applyProtection="1"/>
    <xf numFmtId="10" fontId="0" fillId="0" borderId="0" xfId="0" applyNumberFormat="1" applyBorder="1" applyProtection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55"/>
  <sheetViews>
    <sheetView tabSelected="1" zoomScale="85" zoomScaleNormal="85" workbookViewId="0">
      <selection activeCell="Y36" sqref="Y36"/>
    </sheetView>
  </sheetViews>
  <sheetFormatPr defaultRowHeight="15"/>
  <cols>
    <col min="1" max="1" width="9.140625" style="7"/>
    <col min="2" max="2" width="19.7109375" style="6" customWidth="1"/>
    <col min="3" max="3" width="7.5703125" style="7" bestFit="1" customWidth="1"/>
    <col min="4" max="4" width="19.42578125" style="7" customWidth="1"/>
    <col min="5" max="5" width="12.7109375" style="7" hidden="1" customWidth="1"/>
    <col min="6" max="6" width="11.85546875" style="7" hidden="1" customWidth="1"/>
    <col min="7" max="7" width="21.42578125" style="7" hidden="1" customWidth="1"/>
    <col min="8" max="8" width="12.42578125" style="7" hidden="1" customWidth="1"/>
    <col min="9" max="9" width="14.140625" style="7" hidden="1" customWidth="1"/>
    <col min="10" max="10" width="15.140625" style="7" hidden="1" customWidth="1"/>
    <col min="11" max="14" width="24.7109375" style="7" hidden="1" customWidth="1"/>
    <col min="15" max="15" width="12.85546875" style="7" hidden="1" customWidth="1"/>
    <col min="16" max="16" width="14.7109375" style="7" customWidth="1"/>
    <col min="17" max="17" width="15.85546875" style="7" hidden="1" customWidth="1"/>
    <col min="18" max="18" width="9.140625" style="7" hidden="1" customWidth="1"/>
    <col min="19" max="19" width="12.85546875" style="7" hidden="1" customWidth="1"/>
    <col min="20" max="20" width="12.140625" style="7" hidden="1" customWidth="1"/>
    <col min="21" max="21" width="15" style="7" hidden="1" customWidth="1"/>
    <col min="22" max="22" width="16.7109375" style="7" hidden="1" customWidth="1"/>
    <col min="23" max="23" width="11.42578125" style="7" customWidth="1"/>
    <col min="24" max="16384" width="9.140625" style="7"/>
  </cols>
  <sheetData>
    <row r="1" spans="2:23" ht="15.75" thickBot="1"/>
    <row r="2" spans="2:23">
      <c r="B2" s="42"/>
      <c r="C2" s="19"/>
      <c r="D2" s="19"/>
      <c r="E2" s="19" t="s">
        <v>0</v>
      </c>
      <c r="F2" s="19" t="s">
        <v>1</v>
      </c>
      <c r="G2" s="19" t="s">
        <v>2</v>
      </c>
      <c r="H2" s="19" t="s">
        <v>3</v>
      </c>
      <c r="I2" s="19" t="s">
        <v>4</v>
      </c>
      <c r="J2" s="19" t="s">
        <v>5</v>
      </c>
      <c r="K2" s="19" t="s">
        <v>6</v>
      </c>
      <c r="L2" s="19" t="s">
        <v>7</v>
      </c>
      <c r="M2" s="19" t="s">
        <v>8</v>
      </c>
      <c r="N2" s="19" t="s">
        <v>9</v>
      </c>
      <c r="O2" s="19" t="s">
        <v>10</v>
      </c>
      <c r="P2" s="19"/>
      <c r="Q2" s="19" t="s">
        <v>11</v>
      </c>
      <c r="R2" s="19" t="s">
        <v>12</v>
      </c>
      <c r="S2" s="19" t="s">
        <v>13</v>
      </c>
      <c r="T2" s="19" t="s">
        <v>14</v>
      </c>
      <c r="U2" s="19" t="s">
        <v>15</v>
      </c>
      <c r="V2" s="19" t="s">
        <v>16</v>
      </c>
      <c r="W2" s="21"/>
    </row>
    <row r="3" spans="2:23" ht="17.25">
      <c r="B3" s="43" t="s">
        <v>17</v>
      </c>
      <c r="C3" s="44" t="s">
        <v>18</v>
      </c>
      <c r="D3" s="44"/>
      <c r="E3" s="44" t="s">
        <v>19</v>
      </c>
      <c r="F3" s="49" t="s">
        <v>20</v>
      </c>
      <c r="G3" s="49" t="s">
        <v>21</v>
      </c>
      <c r="H3" s="49" t="s">
        <v>21</v>
      </c>
      <c r="I3" s="49" t="s">
        <v>21</v>
      </c>
      <c r="J3" s="49" t="s">
        <v>22</v>
      </c>
      <c r="K3" s="49" t="s">
        <v>23</v>
      </c>
      <c r="L3" s="49"/>
      <c r="M3" s="49"/>
      <c r="N3" s="49"/>
      <c r="O3" s="50"/>
      <c r="P3" s="49" t="s">
        <v>24</v>
      </c>
      <c r="Q3" s="49" t="s">
        <v>25</v>
      </c>
      <c r="R3" s="51"/>
      <c r="S3" s="51"/>
      <c r="T3" s="51"/>
      <c r="U3" s="51"/>
      <c r="V3" s="51" t="s">
        <v>26</v>
      </c>
      <c r="W3" s="52" t="str">
        <f>V3</f>
        <v>Gas/Vapor</v>
      </c>
    </row>
    <row r="4" spans="2:23">
      <c r="B4" s="45" t="s">
        <v>27</v>
      </c>
      <c r="C4" s="46" t="s">
        <v>28</v>
      </c>
      <c r="D4" s="4"/>
      <c r="E4" s="8">
        <v>1.171</v>
      </c>
      <c r="F4" s="9">
        <v>26.04</v>
      </c>
      <c r="G4" s="8">
        <v>319.60000000000002</v>
      </c>
      <c r="H4" s="8">
        <v>1683</v>
      </c>
      <c r="I4" s="8">
        <v>1352</v>
      </c>
      <c r="J4" s="8">
        <f t="shared" ref="J4:J9" si="0">H4/I4</f>
        <v>1.2448224852071006</v>
      </c>
      <c r="K4" s="8">
        <v>9.35</v>
      </c>
      <c r="L4" s="10">
        <f>(F4^-1)*1000</f>
        <v>38.402457757296467</v>
      </c>
      <c r="M4" s="8">
        <v>189</v>
      </c>
      <c r="N4" s="8">
        <v>16.03</v>
      </c>
      <c r="O4" s="5">
        <v>0</v>
      </c>
      <c r="P4" s="53">
        <f>O4/$O$34</f>
        <v>0</v>
      </c>
      <c r="Q4" s="11">
        <f>(P4*$P$35)*101.3</f>
        <v>0</v>
      </c>
      <c r="R4" s="5">
        <f t="shared" ref="R4:R33" si="1">P4*F4</f>
        <v>0</v>
      </c>
      <c r="S4" s="5">
        <f t="shared" ref="S4:S33" si="2">R4*G4</f>
        <v>0</v>
      </c>
      <c r="T4" s="5">
        <f t="shared" ref="T4:T33" si="3">IFERROR(J4*P4,1.4*P4)</f>
        <v>0</v>
      </c>
      <c r="U4" s="5"/>
      <c r="W4" s="26"/>
    </row>
    <row r="5" spans="2:23">
      <c r="B5" s="47" t="s">
        <v>29</v>
      </c>
      <c r="C5" s="46" t="s">
        <v>30</v>
      </c>
      <c r="D5" s="4"/>
      <c r="E5" s="8">
        <v>0.77100000000000002</v>
      </c>
      <c r="F5" s="9">
        <v>17.03</v>
      </c>
      <c r="G5" s="8">
        <v>488.3</v>
      </c>
      <c r="H5" s="8">
        <v>2219</v>
      </c>
      <c r="I5" s="8">
        <v>1680</v>
      </c>
      <c r="J5" s="8">
        <f t="shared" si="0"/>
        <v>1.3208333333333333</v>
      </c>
      <c r="K5" s="8">
        <v>9.18</v>
      </c>
      <c r="L5" s="10">
        <f t="shared" ref="L5:L32" si="4">(F5^-1)*1000</f>
        <v>58.719906048150321</v>
      </c>
      <c r="M5" s="8">
        <v>240</v>
      </c>
      <c r="N5" s="8">
        <v>23.35</v>
      </c>
      <c r="O5" s="5">
        <v>0</v>
      </c>
      <c r="P5" s="53">
        <f t="shared" ref="P5:P31" si="5">O5/$O$34</f>
        <v>0</v>
      </c>
      <c r="Q5" s="11">
        <f t="shared" ref="Q5:Q33" si="6">(P5*$P$35)*101.3</f>
        <v>0</v>
      </c>
      <c r="R5" s="5">
        <f t="shared" si="1"/>
        <v>0</v>
      </c>
      <c r="S5" s="5">
        <f t="shared" si="2"/>
        <v>0</v>
      </c>
      <c r="T5" s="5">
        <f t="shared" si="3"/>
        <v>0</v>
      </c>
      <c r="U5" s="5">
        <f>((1/M5)-((8.314*LN($P$35/1))/(N5*1000)))^-1</f>
        <v>248.61417624861105</v>
      </c>
      <c r="V5" s="5" t="str">
        <f>IF(P5&gt;0,IF(U5&lt;$R$36," (Gas)"," (Vapor)"),"")</f>
        <v/>
      </c>
      <c r="W5" s="26" t="str">
        <f>V5</f>
        <v/>
      </c>
    </row>
    <row r="6" spans="2:23">
      <c r="B6" s="47" t="s">
        <v>31</v>
      </c>
      <c r="C6" s="46" t="s">
        <v>32</v>
      </c>
      <c r="D6" s="4"/>
      <c r="E6" s="8">
        <v>1.782</v>
      </c>
      <c r="F6" s="9">
        <v>39.94</v>
      </c>
      <c r="G6" s="8">
        <v>208.5</v>
      </c>
      <c r="H6" s="8">
        <v>532</v>
      </c>
      <c r="I6" s="8">
        <v>322</v>
      </c>
      <c r="J6" s="8">
        <f t="shared" si="0"/>
        <v>1.6521739130434783</v>
      </c>
      <c r="K6" s="8">
        <v>20.9</v>
      </c>
      <c r="L6" s="10">
        <f t="shared" si="4"/>
        <v>25.037556334501755</v>
      </c>
      <c r="M6" s="8">
        <v>87.15</v>
      </c>
      <c r="N6" s="8">
        <v>6.53</v>
      </c>
      <c r="O6" s="5">
        <v>126</v>
      </c>
      <c r="P6" s="53">
        <f t="shared" si="5"/>
        <v>1.2367491166077738E-2</v>
      </c>
      <c r="Q6" s="11">
        <f t="shared" si="6"/>
        <v>1.8792402826855124</v>
      </c>
      <c r="R6" s="5">
        <f t="shared" si="1"/>
        <v>0.4939575971731448</v>
      </c>
      <c r="S6" s="5">
        <f t="shared" si="2"/>
        <v>102.99015901060069</v>
      </c>
      <c r="T6" s="5">
        <f t="shared" si="3"/>
        <v>2.0433246274389305E-2</v>
      </c>
      <c r="U6" s="5">
        <f t="shared" ref="U6:U32" si="7">((1/M6)-((8.314*LN($P$35/1))/(N6*1000)))^-1</f>
        <v>91.255606017812596</v>
      </c>
      <c r="V6" s="5" t="str">
        <f t="shared" ref="V6:V33" si="8">IF(P6&gt;0,IF(U6&lt;$R$36," (Gas)"," (Vapor)"),"")</f>
        <v xml:space="preserve"> (Gas)</v>
      </c>
      <c r="W6" s="26" t="str">
        <f t="shared" ref="W6:W33" si="9">V6</f>
        <v xml:space="preserve"> (Gas)</v>
      </c>
    </row>
    <row r="7" spans="2:23">
      <c r="B7" s="47" t="s">
        <v>33</v>
      </c>
      <c r="C7" s="46" t="s">
        <v>34</v>
      </c>
      <c r="D7" s="4"/>
      <c r="E7" s="8">
        <v>1.2509999999999999</v>
      </c>
      <c r="F7" s="9">
        <v>28.02</v>
      </c>
      <c r="G7" s="8">
        <v>296.7</v>
      </c>
      <c r="H7" s="8">
        <v>1047</v>
      </c>
      <c r="I7" s="8">
        <v>746</v>
      </c>
      <c r="J7" s="8">
        <f t="shared" si="0"/>
        <v>1.4034852546916889</v>
      </c>
      <c r="K7" s="8">
        <v>17</v>
      </c>
      <c r="L7" s="10">
        <f t="shared" si="4"/>
        <v>35.68879371877231</v>
      </c>
      <c r="M7" s="8">
        <v>77.355000000000004</v>
      </c>
      <c r="N7" s="8">
        <v>6.1</v>
      </c>
      <c r="O7" s="5">
        <v>7398</v>
      </c>
      <c r="P7" s="53">
        <f t="shared" si="5"/>
        <v>0.72614840989399299</v>
      </c>
      <c r="Q7" s="11">
        <f t="shared" si="6"/>
        <v>110.33825088339225</v>
      </c>
      <c r="R7" s="5">
        <f t="shared" si="1"/>
        <v>20.346678445229681</v>
      </c>
      <c r="S7" s="5">
        <f t="shared" si="2"/>
        <v>6036.8594946996463</v>
      </c>
      <c r="T7" s="5">
        <f>IFERROR(J7*P7,1.4*P7)</f>
        <v>1.0191385860040356</v>
      </c>
      <c r="U7" s="5">
        <f t="shared" si="7"/>
        <v>80.809494063753931</v>
      </c>
      <c r="V7" s="5" t="str">
        <f t="shared" si="8"/>
        <v xml:space="preserve"> (Gas)</v>
      </c>
      <c r="W7" s="26" t="str">
        <f t="shared" si="9"/>
        <v xml:space="preserve"> (Gas)</v>
      </c>
    </row>
    <row r="8" spans="2:23">
      <c r="B8" s="47" t="s">
        <v>35</v>
      </c>
      <c r="C8" s="46" t="s">
        <v>36</v>
      </c>
      <c r="D8" s="4"/>
      <c r="E8" s="8">
        <v>1.34</v>
      </c>
      <c r="F8" s="9">
        <v>30.01</v>
      </c>
      <c r="G8" s="8">
        <v>277.10000000000002</v>
      </c>
      <c r="H8" s="8">
        <v>975</v>
      </c>
      <c r="I8" s="8">
        <v>696</v>
      </c>
      <c r="J8" s="8">
        <f t="shared" si="0"/>
        <v>1.4008620689655173</v>
      </c>
      <c r="K8" s="8">
        <v>17.8</v>
      </c>
      <c r="L8" s="10">
        <f t="shared" si="4"/>
        <v>33.322225924691764</v>
      </c>
      <c r="M8" s="8">
        <v>184.67</v>
      </c>
      <c r="N8" s="8">
        <v>13.8</v>
      </c>
      <c r="O8" s="5">
        <v>0</v>
      </c>
      <c r="P8" s="53">
        <f t="shared" si="5"/>
        <v>0</v>
      </c>
      <c r="Q8" s="11">
        <f t="shared" si="6"/>
        <v>0</v>
      </c>
      <c r="R8" s="5">
        <f t="shared" si="1"/>
        <v>0</v>
      </c>
      <c r="S8" s="5">
        <f t="shared" si="2"/>
        <v>0</v>
      </c>
      <c r="T8" s="5">
        <f>IFERROR(J8*P8,1.4*P8)</f>
        <v>0</v>
      </c>
      <c r="U8" s="5">
        <f t="shared" si="7"/>
        <v>193.39417059923824</v>
      </c>
      <c r="V8" s="5" t="str">
        <f t="shared" si="8"/>
        <v/>
      </c>
      <c r="W8" s="26" t="str">
        <f t="shared" si="9"/>
        <v/>
      </c>
    </row>
    <row r="9" spans="2:23">
      <c r="B9" s="47" t="s">
        <v>37</v>
      </c>
      <c r="C9" s="46" t="s">
        <v>38</v>
      </c>
      <c r="D9" s="4"/>
      <c r="E9" s="8">
        <v>2.673</v>
      </c>
      <c r="F9" s="9">
        <v>58.12</v>
      </c>
      <c r="G9" s="8">
        <v>143.19999999999999</v>
      </c>
      <c r="H9" s="8">
        <v>1917</v>
      </c>
      <c r="I9" s="8">
        <v>1733</v>
      </c>
      <c r="J9" s="8">
        <f t="shared" si="0"/>
        <v>1.1061742642815926</v>
      </c>
      <c r="K9" s="8">
        <v>8.1</v>
      </c>
      <c r="L9" s="10">
        <f t="shared" si="4"/>
        <v>17.205781142463866</v>
      </c>
      <c r="M9" s="8">
        <v>271</v>
      </c>
      <c r="N9" s="8">
        <v>21</v>
      </c>
      <c r="O9" s="5">
        <v>0</v>
      </c>
      <c r="P9" s="53">
        <f t="shared" si="5"/>
        <v>0</v>
      </c>
      <c r="Q9" s="11">
        <f t="shared" si="6"/>
        <v>0</v>
      </c>
      <c r="R9" s="5">
        <f t="shared" si="1"/>
        <v>0</v>
      </c>
      <c r="S9" s="5">
        <f t="shared" si="2"/>
        <v>0</v>
      </c>
      <c r="T9" s="5">
        <f t="shared" si="3"/>
        <v>0</v>
      </c>
      <c r="U9" s="5">
        <f t="shared" si="7"/>
        <v>283.32534041473474</v>
      </c>
      <c r="V9" s="5" t="str">
        <f t="shared" si="8"/>
        <v/>
      </c>
      <c r="W9" s="26" t="str">
        <f t="shared" si="9"/>
        <v/>
      </c>
    </row>
    <row r="10" spans="2:23">
      <c r="B10" s="47" t="s">
        <v>39</v>
      </c>
      <c r="C10" s="46" t="s">
        <v>38</v>
      </c>
      <c r="D10" s="4"/>
      <c r="E10" s="8">
        <v>2.6680000000000001</v>
      </c>
      <c r="F10" s="9">
        <v>58.12</v>
      </c>
      <c r="G10" s="8">
        <v>143.19999999999999</v>
      </c>
      <c r="H10" s="8">
        <v>1632</v>
      </c>
      <c r="I10" s="8">
        <f>H10/J10</f>
        <v>1457.1428571428571</v>
      </c>
      <c r="J10" s="8">
        <v>1.1200000000000001</v>
      </c>
      <c r="K10" s="8">
        <v>7.47</v>
      </c>
      <c r="L10" s="10">
        <f t="shared" si="4"/>
        <v>17.205781142463866</v>
      </c>
      <c r="M10" s="8">
        <v>273</v>
      </c>
      <c r="N10" s="8">
        <v>21</v>
      </c>
      <c r="O10" s="5">
        <v>0</v>
      </c>
      <c r="P10" s="53">
        <f t="shared" si="5"/>
        <v>0</v>
      </c>
      <c r="Q10" s="11">
        <f t="shared" si="6"/>
        <v>0</v>
      </c>
      <c r="R10" s="5">
        <f t="shared" si="1"/>
        <v>0</v>
      </c>
      <c r="S10" s="5">
        <f t="shared" si="2"/>
        <v>0</v>
      </c>
      <c r="T10" s="5">
        <f t="shared" si="3"/>
        <v>0</v>
      </c>
      <c r="U10" s="5">
        <f t="shared" si="7"/>
        <v>285.51213529804187</v>
      </c>
      <c r="V10" s="5" t="str">
        <f t="shared" si="8"/>
        <v/>
      </c>
      <c r="W10" s="26" t="str">
        <f t="shared" si="9"/>
        <v/>
      </c>
    </row>
    <row r="11" spans="2:23">
      <c r="B11" s="47" t="s">
        <v>40</v>
      </c>
      <c r="C11" s="46" t="s">
        <v>41</v>
      </c>
      <c r="D11" s="4"/>
      <c r="E11" s="8">
        <v>1.357</v>
      </c>
      <c r="F11" s="9">
        <v>30.06</v>
      </c>
      <c r="G11" s="8">
        <v>276.7</v>
      </c>
      <c r="H11" s="8">
        <v>1729</v>
      </c>
      <c r="I11" s="8">
        <v>1445</v>
      </c>
      <c r="J11" s="8">
        <f>H11/I11</f>
        <v>1.1965397923875432</v>
      </c>
      <c r="K11" s="8">
        <v>8.5</v>
      </c>
      <c r="L11" s="10">
        <f t="shared" si="4"/>
        <v>33.266799733865604</v>
      </c>
      <c r="M11" s="8">
        <v>184.6</v>
      </c>
      <c r="N11" s="8">
        <v>79.87</v>
      </c>
      <c r="O11" s="5">
        <v>0</v>
      </c>
      <c r="P11" s="53">
        <f t="shared" si="5"/>
        <v>0</v>
      </c>
      <c r="Q11" s="11">
        <f t="shared" si="6"/>
        <v>0</v>
      </c>
      <c r="R11" s="5">
        <f t="shared" si="1"/>
        <v>0</v>
      </c>
      <c r="S11" s="5">
        <f t="shared" si="2"/>
        <v>0</v>
      </c>
      <c r="T11" s="5">
        <f t="shared" si="3"/>
        <v>0</v>
      </c>
      <c r="U11" s="5">
        <f t="shared" si="7"/>
        <v>186.0495733574559</v>
      </c>
      <c r="V11" s="5" t="str">
        <f t="shared" si="8"/>
        <v/>
      </c>
      <c r="W11" s="26" t="str">
        <f t="shared" si="9"/>
        <v/>
      </c>
    </row>
    <row r="12" spans="2:23">
      <c r="B12" s="47" t="s">
        <v>42</v>
      </c>
      <c r="C12" s="46" t="s">
        <v>43</v>
      </c>
      <c r="D12" s="4"/>
      <c r="E12" s="8">
        <v>1.2609999999999999</v>
      </c>
      <c r="F12" s="9">
        <v>28.05</v>
      </c>
      <c r="G12" s="8">
        <v>296.60000000000002</v>
      </c>
      <c r="H12" s="8">
        <v>1528</v>
      </c>
      <c r="I12" s="8">
        <v>1222</v>
      </c>
      <c r="J12" s="8">
        <f>H12/I12</f>
        <v>1.2504091653027822</v>
      </c>
      <c r="K12" s="8">
        <v>9.85</v>
      </c>
      <c r="L12" s="10">
        <f t="shared" si="4"/>
        <v>35.650623885918002</v>
      </c>
      <c r="M12" s="8">
        <v>169.5</v>
      </c>
      <c r="N12" s="8">
        <v>79.95</v>
      </c>
      <c r="O12" s="5">
        <v>0</v>
      </c>
      <c r="P12" s="53">
        <f t="shared" si="5"/>
        <v>0</v>
      </c>
      <c r="Q12" s="11">
        <f t="shared" si="6"/>
        <v>0</v>
      </c>
      <c r="R12" s="5">
        <f t="shared" si="1"/>
        <v>0</v>
      </c>
      <c r="S12" s="5">
        <f t="shared" si="2"/>
        <v>0</v>
      </c>
      <c r="T12" s="5">
        <f t="shared" si="3"/>
        <v>0</v>
      </c>
      <c r="U12" s="5">
        <f t="shared" si="7"/>
        <v>170.72011123742067</v>
      </c>
      <c r="V12" s="5" t="str">
        <f t="shared" si="8"/>
        <v/>
      </c>
      <c r="W12" s="26" t="str">
        <f t="shared" si="9"/>
        <v/>
      </c>
    </row>
    <row r="13" spans="2:23">
      <c r="B13" s="47" t="s">
        <v>44</v>
      </c>
      <c r="C13" s="46" t="s">
        <v>38</v>
      </c>
      <c r="D13" s="4"/>
      <c r="E13" s="8" t="s">
        <v>45</v>
      </c>
      <c r="F13" s="9">
        <v>74.12</v>
      </c>
      <c r="G13" s="8">
        <v>112.2</v>
      </c>
      <c r="H13" s="8">
        <v>2302</v>
      </c>
      <c r="I13" s="8" t="s">
        <v>45</v>
      </c>
      <c r="J13" s="8" t="s">
        <v>45</v>
      </c>
      <c r="K13" s="8">
        <v>286</v>
      </c>
      <c r="L13" s="10">
        <f t="shared" si="4"/>
        <v>13.491635186184565</v>
      </c>
      <c r="M13" s="8">
        <v>307.8</v>
      </c>
      <c r="N13" s="8">
        <v>27.2</v>
      </c>
      <c r="O13" s="5">
        <v>0</v>
      </c>
      <c r="P13" s="53">
        <f t="shared" si="5"/>
        <v>0</v>
      </c>
      <c r="Q13" s="11">
        <f t="shared" si="6"/>
        <v>0</v>
      </c>
      <c r="R13" s="5">
        <f t="shared" si="1"/>
        <v>0</v>
      </c>
      <c r="S13" s="5">
        <f t="shared" si="2"/>
        <v>0</v>
      </c>
      <c r="T13" s="5">
        <f t="shared" si="3"/>
        <v>0</v>
      </c>
      <c r="U13" s="5">
        <f t="shared" si="7"/>
        <v>320.00740189770335</v>
      </c>
      <c r="V13" s="5" t="str">
        <f t="shared" si="8"/>
        <v/>
      </c>
      <c r="W13" s="26" t="str">
        <f t="shared" si="9"/>
        <v/>
      </c>
    </row>
    <row r="14" spans="2:23">
      <c r="B14" s="47" t="s">
        <v>46</v>
      </c>
      <c r="C14" s="46" t="s">
        <v>47</v>
      </c>
      <c r="D14" s="4"/>
      <c r="E14" s="8" t="s">
        <v>45</v>
      </c>
      <c r="F14" s="9">
        <v>64.5</v>
      </c>
      <c r="G14" s="8">
        <v>129</v>
      </c>
      <c r="H14" s="8">
        <v>1340</v>
      </c>
      <c r="I14" s="8" t="s">
        <v>45</v>
      </c>
      <c r="J14" s="8" t="s">
        <v>45</v>
      </c>
      <c r="K14" s="8">
        <v>9.4</v>
      </c>
      <c r="L14" s="10">
        <f t="shared" si="4"/>
        <v>15.503875968992247</v>
      </c>
      <c r="M14" s="8">
        <v>285.42</v>
      </c>
      <c r="N14" s="8">
        <v>26</v>
      </c>
      <c r="O14" s="5">
        <v>0</v>
      </c>
      <c r="P14" s="53">
        <f t="shared" si="5"/>
        <v>0</v>
      </c>
      <c r="Q14" s="11">
        <f t="shared" si="6"/>
        <v>0</v>
      </c>
      <c r="R14" s="5">
        <f t="shared" si="1"/>
        <v>0</v>
      </c>
      <c r="S14" s="5">
        <f t="shared" si="2"/>
        <v>0</v>
      </c>
      <c r="T14" s="5">
        <f t="shared" si="3"/>
        <v>0</v>
      </c>
      <c r="U14" s="5">
        <f t="shared" si="7"/>
        <v>296.38820287459498</v>
      </c>
      <c r="V14" s="5" t="str">
        <f t="shared" si="8"/>
        <v/>
      </c>
      <c r="W14" s="26" t="str">
        <f t="shared" si="9"/>
        <v/>
      </c>
    </row>
    <row r="15" spans="2:23">
      <c r="B15" s="47" t="s">
        <v>48</v>
      </c>
      <c r="C15" s="46" t="s">
        <v>49</v>
      </c>
      <c r="D15" s="4"/>
      <c r="E15" s="8">
        <v>0.17799999999999999</v>
      </c>
      <c r="F15" s="9">
        <v>4.0019999999999998</v>
      </c>
      <c r="G15" s="8">
        <v>2079</v>
      </c>
      <c r="H15" s="8">
        <v>5274</v>
      </c>
      <c r="I15" s="8">
        <v>3181</v>
      </c>
      <c r="J15" s="8">
        <f>H15/I15</f>
        <v>1.6579691920779629</v>
      </c>
      <c r="K15" s="8">
        <v>18.8</v>
      </c>
      <c r="L15" s="10">
        <f t="shared" si="4"/>
        <v>249.87506246876561</v>
      </c>
      <c r="M15" s="8">
        <v>4.2220000000000004</v>
      </c>
      <c r="N15" s="8">
        <v>8.4500000000000006E-2</v>
      </c>
      <c r="O15" s="5">
        <v>0</v>
      </c>
      <c r="P15" s="53">
        <f t="shared" si="5"/>
        <v>0</v>
      </c>
      <c r="Q15" s="11">
        <f t="shared" si="6"/>
        <v>0</v>
      </c>
      <c r="R15" s="5">
        <f t="shared" si="1"/>
        <v>0</v>
      </c>
      <c r="S15" s="5">
        <f t="shared" si="2"/>
        <v>0</v>
      </c>
      <c r="T15" s="5">
        <f t="shared" si="3"/>
        <v>0</v>
      </c>
      <c r="U15" s="5">
        <f t="shared" si="7"/>
        <v>5.0771564453072688</v>
      </c>
      <c r="V15" s="5" t="str">
        <f t="shared" si="8"/>
        <v/>
      </c>
      <c r="W15" s="26" t="str">
        <f t="shared" si="9"/>
        <v/>
      </c>
    </row>
    <row r="16" spans="2:23">
      <c r="B16" s="47" t="s">
        <v>50</v>
      </c>
      <c r="C16" s="46" t="s">
        <v>51</v>
      </c>
      <c r="D16" s="4"/>
      <c r="E16" s="8">
        <v>3.2170000000000001</v>
      </c>
      <c r="F16" s="9">
        <v>70.91</v>
      </c>
      <c r="G16" s="8">
        <v>117.3</v>
      </c>
      <c r="H16" s="8">
        <v>481</v>
      </c>
      <c r="I16" s="8">
        <v>355</v>
      </c>
      <c r="J16" s="8">
        <f t="shared" ref="J16:J32" si="10">H16/I16</f>
        <v>1.3549295774647887</v>
      </c>
      <c r="K16" s="8">
        <v>12</v>
      </c>
      <c r="L16" s="10">
        <f t="shared" si="4"/>
        <v>14.10238330277817</v>
      </c>
      <c r="M16" s="8">
        <v>239.11</v>
      </c>
      <c r="N16" s="8">
        <v>20.41</v>
      </c>
      <c r="O16" s="5">
        <v>0</v>
      </c>
      <c r="P16" s="53">
        <f t="shared" si="5"/>
        <v>0</v>
      </c>
      <c r="Q16" s="11">
        <f t="shared" si="6"/>
        <v>0</v>
      </c>
      <c r="R16" s="5">
        <f t="shared" si="1"/>
        <v>0</v>
      </c>
      <c r="S16" s="5">
        <f t="shared" si="2"/>
        <v>0</v>
      </c>
      <c r="T16" s="5">
        <f t="shared" si="3"/>
        <v>0</v>
      </c>
      <c r="U16" s="5">
        <f t="shared" si="7"/>
        <v>248.94140008830743</v>
      </c>
      <c r="V16" s="5" t="str">
        <f t="shared" si="8"/>
        <v/>
      </c>
      <c r="W16" s="26" t="str">
        <f t="shared" si="9"/>
        <v/>
      </c>
    </row>
    <row r="17" spans="2:23">
      <c r="B17" s="47" t="s">
        <v>52</v>
      </c>
      <c r="C17" s="46" t="s">
        <v>53</v>
      </c>
      <c r="D17" s="4"/>
      <c r="E17" s="8">
        <v>1.639</v>
      </c>
      <c r="F17" s="9">
        <v>36.47</v>
      </c>
      <c r="G17" s="8">
        <v>228</v>
      </c>
      <c r="H17" s="8">
        <v>812</v>
      </c>
      <c r="I17" s="8">
        <v>583</v>
      </c>
      <c r="J17" s="8">
        <f t="shared" si="10"/>
        <v>1.3927958833619212</v>
      </c>
      <c r="K17" s="8" t="s">
        <v>45</v>
      </c>
      <c r="L17" s="10">
        <f t="shared" si="4"/>
        <v>27.419797093501508</v>
      </c>
      <c r="M17" s="8">
        <v>188.1</v>
      </c>
      <c r="N17" s="8">
        <v>16.2</v>
      </c>
      <c r="O17" s="5">
        <v>0</v>
      </c>
      <c r="P17" s="53">
        <f t="shared" si="5"/>
        <v>0</v>
      </c>
      <c r="Q17" s="11">
        <f t="shared" si="6"/>
        <v>0</v>
      </c>
      <c r="R17" s="5">
        <f t="shared" si="1"/>
        <v>0</v>
      </c>
      <c r="S17" s="5">
        <f t="shared" si="2"/>
        <v>0</v>
      </c>
      <c r="T17" s="5">
        <f t="shared" si="3"/>
        <v>0</v>
      </c>
      <c r="U17" s="5">
        <f t="shared" si="7"/>
        <v>195.76243212597572</v>
      </c>
      <c r="V17" s="5" t="str">
        <f t="shared" si="8"/>
        <v/>
      </c>
      <c r="W17" s="26" t="str">
        <f t="shared" si="9"/>
        <v/>
      </c>
    </row>
    <row r="18" spans="2:23">
      <c r="B18" s="47" t="s">
        <v>54</v>
      </c>
      <c r="C18" s="46" t="s">
        <v>55</v>
      </c>
      <c r="D18" s="4"/>
      <c r="E18" s="8">
        <v>1.429</v>
      </c>
      <c r="F18" s="9">
        <v>32</v>
      </c>
      <c r="G18" s="8">
        <v>259.89999999999998</v>
      </c>
      <c r="H18" s="8">
        <v>913</v>
      </c>
      <c r="I18" s="8">
        <v>653</v>
      </c>
      <c r="J18" s="8">
        <f t="shared" si="10"/>
        <v>1.3981623277182236</v>
      </c>
      <c r="K18" s="8">
        <v>20.3</v>
      </c>
      <c r="L18" s="10">
        <f t="shared" si="4"/>
        <v>31.25</v>
      </c>
      <c r="M18" s="8">
        <v>90.188000000000002</v>
      </c>
      <c r="N18" s="8">
        <v>6.82</v>
      </c>
      <c r="O18" s="5">
        <v>2616</v>
      </c>
      <c r="P18" s="53">
        <f t="shared" si="5"/>
        <v>0.25677267373380447</v>
      </c>
      <c r="Q18" s="11">
        <f t="shared" si="6"/>
        <v>39.016607773851582</v>
      </c>
      <c r="R18" s="5">
        <f t="shared" si="1"/>
        <v>8.216725559481743</v>
      </c>
      <c r="S18" s="5">
        <f t="shared" si="2"/>
        <v>2135.5269729093047</v>
      </c>
      <c r="T18" s="5">
        <f t="shared" si="3"/>
        <v>0.35900987920208804</v>
      </c>
      <c r="U18" s="5">
        <f t="shared" si="7"/>
        <v>94.396058308281255</v>
      </c>
      <c r="V18" s="5" t="str">
        <f t="shared" si="8"/>
        <v xml:space="preserve"> (Gas)</v>
      </c>
      <c r="W18" s="26" t="str">
        <f t="shared" si="9"/>
        <v xml:space="preserve"> (Gas)</v>
      </c>
    </row>
    <row r="19" spans="2:23">
      <c r="B19" s="47" t="s">
        <v>56</v>
      </c>
      <c r="C19" s="46" t="s">
        <v>57</v>
      </c>
      <c r="D19" s="4"/>
      <c r="E19" s="8">
        <v>3.7080000000000002</v>
      </c>
      <c r="F19" s="9">
        <v>83.7</v>
      </c>
      <c r="G19" s="8">
        <v>100.3</v>
      </c>
      <c r="H19" s="8">
        <v>251</v>
      </c>
      <c r="I19" s="8">
        <v>151</v>
      </c>
      <c r="J19" s="8">
        <f t="shared" si="10"/>
        <v>1.6622516556291391</v>
      </c>
      <c r="K19" s="8">
        <v>23.2</v>
      </c>
      <c r="L19" s="10">
        <f t="shared" si="4"/>
        <v>11.947431302270012</v>
      </c>
      <c r="M19" s="8">
        <v>119.93</v>
      </c>
      <c r="N19" s="8">
        <v>9.08</v>
      </c>
      <c r="O19" s="5">
        <v>0</v>
      </c>
      <c r="P19" s="53">
        <f t="shared" si="5"/>
        <v>0</v>
      </c>
      <c r="Q19" s="11">
        <f t="shared" si="6"/>
        <v>0</v>
      </c>
      <c r="R19" s="5">
        <f t="shared" si="1"/>
        <v>0</v>
      </c>
      <c r="S19" s="5">
        <f t="shared" si="2"/>
        <v>0</v>
      </c>
      <c r="T19" s="5">
        <f t="shared" si="3"/>
        <v>0</v>
      </c>
      <c r="U19" s="5">
        <f t="shared" si="7"/>
        <v>125.51874212698729</v>
      </c>
      <c r="V19" s="5" t="str">
        <f t="shared" si="8"/>
        <v/>
      </c>
      <c r="W19" s="26" t="str">
        <f t="shared" si="9"/>
        <v/>
      </c>
    </row>
    <row r="20" spans="2:23">
      <c r="B20" s="47" t="s">
        <v>58</v>
      </c>
      <c r="C20" s="46" t="s">
        <v>59</v>
      </c>
      <c r="D20" s="4"/>
      <c r="E20" s="8">
        <v>5.851</v>
      </c>
      <c r="F20" s="9">
        <v>131.30000000000001</v>
      </c>
      <c r="G20" s="8">
        <v>63.84</v>
      </c>
      <c r="H20" s="8">
        <v>159</v>
      </c>
      <c r="I20" s="8">
        <v>96.3</v>
      </c>
      <c r="J20" s="8">
        <f t="shared" si="10"/>
        <v>1.6510903426791277</v>
      </c>
      <c r="K20" s="8">
        <v>21</v>
      </c>
      <c r="L20" s="10">
        <f t="shared" si="4"/>
        <v>7.6161462300076153</v>
      </c>
      <c r="M20" s="8">
        <v>165.05099999999999</v>
      </c>
      <c r="N20" s="8">
        <v>12.64</v>
      </c>
      <c r="O20" s="5">
        <v>0</v>
      </c>
      <c r="P20" s="53">
        <f t="shared" si="5"/>
        <v>0</v>
      </c>
      <c r="Q20" s="11">
        <f t="shared" si="6"/>
        <v>0</v>
      </c>
      <c r="R20" s="5">
        <f t="shared" si="1"/>
        <v>0</v>
      </c>
      <c r="S20" s="5">
        <f t="shared" si="2"/>
        <v>0</v>
      </c>
      <c r="T20" s="5">
        <f t="shared" si="3"/>
        <v>0</v>
      </c>
      <c r="U20" s="5">
        <f t="shared" si="7"/>
        <v>172.65081876762309</v>
      </c>
      <c r="V20" s="5" t="str">
        <f t="shared" si="8"/>
        <v/>
      </c>
      <c r="W20" s="26" t="str">
        <f t="shared" si="9"/>
        <v/>
      </c>
    </row>
    <row r="21" spans="2:23">
      <c r="B21" s="47" t="s">
        <v>60</v>
      </c>
      <c r="C21" s="46" t="s">
        <v>61</v>
      </c>
      <c r="D21" s="4"/>
      <c r="E21" s="8">
        <v>0.71699999999999997</v>
      </c>
      <c r="F21" s="9">
        <v>16.03</v>
      </c>
      <c r="G21" s="8">
        <v>518.79999999999995</v>
      </c>
      <c r="H21" s="8">
        <v>2225</v>
      </c>
      <c r="I21" s="8">
        <v>1700</v>
      </c>
      <c r="J21" s="8">
        <f t="shared" si="10"/>
        <v>1.3088235294117647</v>
      </c>
      <c r="K21" s="8">
        <v>10.3</v>
      </c>
      <c r="L21" s="10">
        <f t="shared" si="4"/>
        <v>62.383031815346222</v>
      </c>
      <c r="M21" s="8">
        <v>112</v>
      </c>
      <c r="N21" s="8">
        <v>8.17</v>
      </c>
      <c r="O21" s="5">
        <v>0</v>
      </c>
      <c r="P21" s="53">
        <f t="shared" si="5"/>
        <v>0</v>
      </c>
      <c r="Q21" s="11">
        <f t="shared" si="6"/>
        <v>0</v>
      </c>
      <c r="R21" s="5">
        <f t="shared" si="1"/>
        <v>0</v>
      </c>
      <c r="S21" s="5">
        <f t="shared" si="2"/>
        <v>0</v>
      </c>
      <c r="T21" s="5">
        <f t="shared" si="3"/>
        <v>0</v>
      </c>
      <c r="U21" s="5">
        <f t="shared" si="7"/>
        <v>117.42657575853394</v>
      </c>
      <c r="V21" s="5" t="str">
        <f t="shared" si="8"/>
        <v/>
      </c>
      <c r="W21" s="26" t="str">
        <f t="shared" si="9"/>
        <v/>
      </c>
    </row>
    <row r="22" spans="2:23">
      <c r="B22" s="47" t="s">
        <v>62</v>
      </c>
      <c r="C22" s="46" t="s">
        <v>63</v>
      </c>
      <c r="D22" s="4"/>
      <c r="E22" s="8">
        <v>2.3079999999999998</v>
      </c>
      <c r="F22" s="9">
        <v>50.48</v>
      </c>
      <c r="G22" s="8">
        <v>164.8</v>
      </c>
      <c r="H22" s="8">
        <v>741</v>
      </c>
      <c r="I22" s="8">
        <v>582</v>
      </c>
      <c r="J22" s="8">
        <f t="shared" si="10"/>
        <v>1.2731958762886597</v>
      </c>
      <c r="K22" s="8">
        <v>9.89</v>
      </c>
      <c r="L22" s="10">
        <f t="shared" si="4"/>
        <v>19.809825673534075</v>
      </c>
      <c r="M22" s="8">
        <v>249.3</v>
      </c>
      <c r="N22" s="8">
        <v>22</v>
      </c>
      <c r="O22" s="5">
        <v>0</v>
      </c>
      <c r="P22" s="53">
        <f t="shared" si="5"/>
        <v>0</v>
      </c>
      <c r="Q22" s="11">
        <f t="shared" si="6"/>
        <v>0</v>
      </c>
      <c r="R22" s="5">
        <f t="shared" si="1"/>
        <v>0</v>
      </c>
      <c r="S22" s="5">
        <f t="shared" si="2"/>
        <v>0</v>
      </c>
      <c r="T22" s="5">
        <f t="shared" si="3"/>
        <v>0</v>
      </c>
      <c r="U22" s="5">
        <f t="shared" si="7"/>
        <v>259.20149108459015</v>
      </c>
      <c r="V22" s="5" t="str">
        <f t="shared" si="8"/>
        <v/>
      </c>
      <c r="W22" s="26" t="str">
        <f t="shared" si="9"/>
        <v/>
      </c>
    </row>
    <row r="23" spans="2:23">
      <c r="B23" s="47" t="s">
        <v>64</v>
      </c>
      <c r="C23" s="46" t="s">
        <v>65</v>
      </c>
      <c r="D23" s="4"/>
      <c r="E23" s="8">
        <v>0.9002</v>
      </c>
      <c r="F23" s="9">
        <v>20.18</v>
      </c>
      <c r="G23" s="8">
        <v>411.7</v>
      </c>
      <c r="H23" s="8">
        <v>1038</v>
      </c>
      <c r="I23" s="8">
        <v>620</v>
      </c>
      <c r="J23" s="8">
        <f t="shared" si="10"/>
        <v>1.6741935483870967</v>
      </c>
      <c r="K23" s="8">
        <v>29.7</v>
      </c>
      <c r="L23" s="10">
        <f t="shared" si="4"/>
        <v>49.554013875123886</v>
      </c>
      <c r="M23" s="8">
        <v>27.103999999999999</v>
      </c>
      <c r="N23" s="8">
        <v>1.71</v>
      </c>
      <c r="O23" s="5">
        <v>0</v>
      </c>
      <c r="P23" s="53">
        <f t="shared" si="5"/>
        <v>0</v>
      </c>
      <c r="Q23" s="11">
        <f t="shared" si="6"/>
        <v>0</v>
      </c>
      <c r="R23" s="5">
        <f t="shared" si="1"/>
        <v>0</v>
      </c>
      <c r="S23" s="5">
        <f t="shared" si="2"/>
        <v>0</v>
      </c>
      <c r="T23" s="5">
        <f t="shared" si="3"/>
        <v>0</v>
      </c>
      <c r="U23" s="5">
        <f t="shared" si="7"/>
        <v>28.633967901916979</v>
      </c>
      <c r="V23" s="5" t="str">
        <f t="shared" si="8"/>
        <v/>
      </c>
      <c r="W23" s="26" t="str">
        <f t="shared" si="9"/>
        <v/>
      </c>
    </row>
    <row r="24" spans="2:23">
      <c r="B24" s="47" t="s">
        <v>66</v>
      </c>
      <c r="C24" s="46" t="s">
        <v>67</v>
      </c>
      <c r="D24" s="4"/>
      <c r="E24" s="8">
        <v>2.2200000000000002</v>
      </c>
      <c r="F24" s="9">
        <v>48</v>
      </c>
      <c r="G24" s="8">
        <v>173.4</v>
      </c>
      <c r="H24" s="8" t="s">
        <v>45</v>
      </c>
      <c r="I24" s="8" t="s">
        <v>45</v>
      </c>
      <c r="J24" s="8">
        <v>1.29</v>
      </c>
      <c r="K24" s="8" t="s">
        <v>45</v>
      </c>
      <c r="L24" s="10">
        <f t="shared" si="4"/>
        <v>20.833333333333332</v>
      </c>
      <c r="M24" s="8">
        <v>161</v>
      </c>
      <c r="N24" s="8">
        <v>15</v>
      </c>
      <c r="O24" s="5">
        <v>0</v>
      </c>
      <c r="P24" s="53">
        <f t="shared" si="5"/>
        <v>0</v>
      </c>
      <c r="Q24" s="11">
        <f t="shared" si="6"/>
        <v>0</v>
      </c>
      <c r="R24" s="5">
        <f t="shared" si="1"/>
        <v>0</v>
      </c>
      <c r="S24" s="5">
        <f t="shared" si="2"/>
        <v>0</v>
      </c>
      <c r="T24" s="5">
        <f t="shared" si="3"/>
        <v>0</v>
      </c>
      <c r="U24" s="5">
        <f t="shared" si="7"/>
        <v>167.0440656965753</v>
      </c>
      <c r="V24" s="5" t="str">
        <f t="shared" si="8"/>
        <v/>
      </c>
      <c r="W24" s="26" t="str">
        <f t="shared" si="9"/>
        <v/>
      </c>
    </row>
    <row r="25" spans="2:23">
      <c r="B25" s="47" t="s">
        <v>68</v>
      </c>
      <c r="C25" s="46" t="s">
        <v>69</v>
      </c>
      <c r="D25" s="4"/>
      <c r="E25" s="8" t="s">
        <v>45</v>
      </c>
      <c r="F25" s="9">
        <v>72.099999999999994</v>
      </c>
      <c r="G25" s="8">
        <v>115.2</v>
      </c>
      <c r="H25" s="8">
        <v>1717</v>
      </c>
      <c r="I25" s="8">
        <v>1575</v>
      </c>
      <c r="J25" s="8">
        <f t="shared" si="10"/>
        <v>1.0901587301587301</v>
      </c>
      <c r="K25" s="8">
        <v>8.74</v>
      </c>
      <c r="L25" s="10">
        <f t="shared" si="4"/>
        <v>13.869625520110958</v>
      </c>
      <c r="M25" s="8">
        <v>309.39999999999998</v>
      </c>
      <c r="N25" s="8">
        <v>26.7</v>
      </c>
      <c r="O25" s="5">
        <v>0</v>
      </c>
      <c r="P25" s="53">
        <f t="shared" si="5"/>
        <v>0</v>
      </c>
      <c r="Q25" s="11">
        <f t="shared" si="6"/>
        <v>0</v>
      </c>
      <c r="R25" s="5">
        <f t="shared" si="1"/>
        <v>0</v>
      </c>
      <c r="S25" s="5">
        <f t="shared" si="2"/>
        <v>0</v>
      </c>
      <c r="T25" s="5">
        <f t="shared" si="3"/>
        <v>0</v>
      </c>
      <c r="U25" s="5">
        <f t="shared" si="7"/>
        <v>321.9776131244177</v>
      </c>
      <c r="V25" s="5" t="str">
        <f t="shared" si="8"/>
        <v/>
      </c>
      <c r="W25" s="26" t="str">
        <f t="shared" si="9"/>
        <v/>
      </c>
    </row>
    <row r="26" spans="2:23">
      <c r="B26" s="47" t="s">
        <v>70</v>
      </c>
      <c r="C26" s="46" t="s">
        <v>71</v>
      </c>
      <c r="D26" s="4"/>
      <c r="E26" s="8">
        <v>2.02</v>
      </c>
      <c r="F26" s="9">
        <v>44.06</v>
      </c>
      <c r="G26" s="8">
        <v>188.8</v>
      </c>
      <c r="H26" s="8">
        <v>1863</v>
      </c>
      <c r="I26" s="8">
        <v>1650</v>
      </c>
      <c r="J26" s="8">
        <f t="shared" si="10"/>
        <v>1.1290909090909091</v>
      </c>
      <c r="K26" s="8">
        <v>7.95</v>
      </c>
      <c r="L26" s="10">
        <f t="shared" si="4"/>
        <v>22.696323195642304</v>
      </c>
      <c r="M26" s="8">
        <v>231</v>
      </c>
      <c r="N26" s="8">
        <v>15.7</v>
      </c>
      <c r="O26" s="5">
        <v>0</v>
      </c>
      <c r="P26" s="53">
        <f t="shared" si="5"/>
        <v>0</v>
      </c>
      <c r="Q26" s="11">
        <f t="shared" si="6"/>
        <v>0</v>
      </c>
      <c r="R26" s="5">
        <f t="shared" si="1"/>
        <v>0</v>
      </c>
      <c r="S26" s="5">
        <f t="shared" si="2"/>
        <v>0</v>
      </c>
      <c r="T26" s="5">
        <f t="shared" si="3"/>
        <v>0</v>
      </c>
      <c r="U26" s="5">
        <f t="shared" si="7"/>
        <v>243.05538494165364</v>
      </c>
      <c r="V26" s="5" t="str">
        <f t="shared" si="8"/>
        <v/>
      </c>
      <c r="W26" s="26" t="str">
        <f t="shared" si="9"/>
        <v/>
      </c>
    </row>
    <row r="27" spans="2:23">
      <c r="B27" s="47" t="s">
        <v>72</v>
      </c>
      <c r="C27" s="46" t="s">
        <v>73</v>
      </c>
      <c r="D27" s="4"/>
      <c r="E27" s="8">
        <v>1.9139999999999999</v>
      </c>
      <c r="F27" s="9">
        <v>42.05</v>
      </c>
      <c r="G27" s="8">
        <v>198.8</v>
      </c>
      <c r="H27" s="8">
        <v>1635</v>
      </c>
      <c r="I27" s="8">
        <v>1437</v>
      </c>
      <c r="J27" s="8">
        <f t="shared" si="10"/>
        <v>1.1377870563674322</v>
      </c>
      <c r="K27" s="8">
        <v>8.35</v>
      </c>
      <c r="L27" s="10">
        <f t="shared" si="4"/>
        <v>23.781212841854934</v>
      </c>
      <c r="M27" s="8">
        <v>225.6</v>
      </c>
      <c r="N27" s="8">
        <v>81.73</v>
      </c>
      <c r="O27" s="5">
        <v>0</v>
      </c>
      <c r="P27" s="53">
        <f t="shared" si="5"/>
        <v>0</v>
      </c>
      <c r="Q27" s="11">
        <f t="shared" si="6"/>
        <v>0</v>
      </c>
      <c r="R27" s="5">
        <f t="shared" si="1"/>
        <v>0</v>
      </c>
      <c r="S27" s="5">
        <f t="shared" si="2"/>
        <v>0</v>
      </c>
      <c r="T27" s="5">
        <f t="shared" si="3"/>
        <v>0</v>
      </c>
      <c r="U27" s="5">
        <f t="shared" si="7"/>
        <v>227.71894787056178</v>
      </c>
      <c r="V27" s="5" t="str">
        <f t="shared" si="8"/>
        <v/>
      </c>
      <c r="W27" s="26" t="str">
        <f t="shared" si="9"/>
        <v/>
      </c>
    </row>
    <row r="28" spans="2:23">
      <c r="B28" s="47" t="s">
        <v>74</v>
      </c>
      <c r="C28" s="46" t="s">
        <v>75</v>
      </c>
      <c r="D28" s="4"/>
      <c r="E28" s="8">
        <v>2.927</v>
      </c>
      <c r="F28" s="9">
        <v>64.06</v>
      </c>
      <c r="G28" s="8">
        <v>129.80000000000001</v>
      </c>
      <c r="H28" s="8">
        <v>633</v>
      </c>
      <c r="I28" s="8">
        <v>503</v>
      </c>
      <c r="J28" s="8">
        <f t="shared" si="10"/>
        <v>1.2584493041749503</v>
      </c>
      <c r="K28" s="8">
        <v>11.7</v>
      </c>
      <c r="L28" s="10">
        <f t="shared" si="4"/>
        <v>15.610365282547612</v>
      </c>
      <c r="M28" s="8">
        <v>263</v>
      </c>
      <c r="N28" s="8">
        <v>24.9</v>
      </c>
      <c r="O28" s="5">
        <v>0</v>
      </c>
      <c r="P28" s="53">
        <f t="shared" si="5"/>
        <v>0</v>
      </c>
      <c r="Q28" s="11">
        <f t="shared" si="6"/>
        <v>0</v>
      </c>
      <c r="R28" s="5">
        <f t="shared" si="1"/>
        <v>0</v>
      </c>
      <c r="S28" s="5">
        <f t="shared" si="2"/>
        <v>0</v>
      </c>
      <c r="T28" s="5">
        <f t="shared" si="3"/>
        <v>0</v>
      </c>
      <c r="U28" s="5">
        <f t="shared" si="7"/>
        <v>272.71004039536291</v>
      </c>
      <c r="V28" s="5" t="str">
        <f t="shared" si="8"/>
        <v/>
      </c>
      <c r="W28" s="26" t="str">
        <f t="shared" si="9"/>
        <v/>
      </c>
    </row>
    <row r="29" spans="2:23">
      <c r="B29" s="47" t="s">
        <v>76</v>
      </c>
      <c r="C29" s="46" t="s">
        <v>77</v>
      </c>
      <c r="D29" s="4"/>
      <c r="E29" s="8">
        <v>1.5389999999999999</v>
      </c>
      <c r="F29" s="9">
        <v>34.090000000000003</v>
      </c>
      <c r="G29" s="8">
        <v>244.2</v>
      </c>
      <c r="H29" s="8">
        <v>1059</v>
      </c>
      <c r="I29" s="8">
        <v>804</v>
      </c>
      <c r="J29" s="8">
        <f t="shared" si="10"/>
        <v>1.3171641791044777</v>
      </c>
      <c r="K29" s="8">
        <v>11.66</v>
      </c>
      <c r="L29" s="10">
        <f t="shared" si="4"/>
        <v>29.334115576415368</v>
      </c>
      <c r="M29" s="8">
        <v>213</v>
      </c>
      <c r="N29" s="8">
        <v>18.600000000000001</v>
      </c>
      <c r="O29" s="5">
        <v>0</v>
      </c>
      <c r="P29" s="53">
        <f t="shared" si="5"/>
        <v>0</v>
      </c>
      <c r="Q29" s="11">
        <f t="shared" si="6"/>
        <v>0</v>
      </c>
      <c r="R29" s="5">
        <f t="shared" si="1"/>
        <v>0</v>
      </c>
      <c r="S29" s="5">
        <f t="shared" si="2"/>
        <v>0</v>
      </c>
      <c r="T29" s="5">
        <f t="shared" si="3"/>
        <v>0</v>
      </c>
      <c r="U29" s="5">
        <f t="shared" si="7"/>
        <v>221.55278142647242</v>
      </c>
      <c r="V29" s="5" t="str">
        <f t="shared" si="8"/>
        <v/>
      </c>
      <c r="W29" s="26" t="str">
        <f t="shared" si="9"/>
        <v/>
      </c>
    </row>
    <row r="30" spans="2:23">
      <c r="B30" s="47" t="s">
        <v>78</v>
      </c>
      <c r="C30" s="46" t="s">
        <v>79</v>
      </c>
      <c r="D30" s="4"/>
      <c r="E30" s="8">
        <v>1.976</v>
      </c>
      <c r="F30" s="9">
        <v>44.01</v>
      </c>
      <c r="G30" s="8">
        <v>189</v>
      </c>
      <c r="H30" s="8">
        <v>837</v>
      </c>
      <c r="I30" s="8">
        <v>653</v>
      </c>
      <c r="J30" s="8">
        <f t="shared" si="10"/>
        <v>1.2817764165390506</v>
      </c>
      <c r="K30" s="8">
        <v>13.7</v>
      </c>
      <c r="L30" s="10">
        <f t="shared" si="4"/>
        <v>22.722108611679165</v>
      </c>
      <c r="M30" s="8">
        <v>216.6</v>
      </c>
      <c r="N30" s="8">
        <v>16.5</v>
      </c>
      <c r="O30" s="5">
        <v>48</v>
      </c>
      <c r="P30" s="53">
        <f>O30/$O$34</f>
        <v>4.7114252061248524E-3</v>
      </c>
      <c r="Q30" s="11">
        <f t="shared" si="6"/>
        <v>0.71590106007067134</v>
      </c>
      <c r="R30" s="5">
        <f t="shared" si="1"/>
        <v>0.20734982332155474</v>
      </c>
      <c r="S30" s="5">
        <f t="shared" si="2"/>
        <v>39.189116607773848</v>
      </c>
      <c r="T30" s="5">
        <f t="shared" si="3"/>
        <v>6.0389937174984715E-3</v>
      </c>
      <c r="U30" s="5">
        <f t="shared" si="7"/>
        <v>226.62890013421921</v>
      </c>
      <c r="V30" s="5" t="str">
        <f t="shared" si="8"/>
        <v xml:space="preserve"> (Gas)</v>
      </c>
      <c r="W30" s="26" t="str">
        <f t="shared" si="9"/>
        <v xml:space="preserve"> (Gas)</v>
      </c>
    </row>
    <row r="31" spans="2:23">
      <c r="B31" s="47" t="s">
        <v>80</v>
      </c>
      <c r="C31" s="46" t="s">
        <v>81</v>
      </c>
      <c r="D31" s="4"/>
      <c r="E31" s="8">
        <v>1.25</v>
      </c>
      <c r="F31" s="9">
        <v>28.01</v>
      </c>
      <c r="G31" s="8">
        <v>297</v>
      </c>
      <c r="H31" s="8">
        <v>1047</v>
      </c>
      <c r="I31" s="8">
        <v>754</v>
      </c>
      <c r="J31" s="8">
        <f t="shared" si="10"/>
        <v>1.3885941644562334</v>
      </c>
      <c r="K31" s="8">
        <v>16.600000000000001</v>
      </c>
      <c r="L31" s="10">
        <f t="shared" si="4"/>
        <v>35.701535166012135</v>
      </c>
      <c r="M31" s="8">
        <v>81.599999999999994</v>
      </c>
      <c r="N31" s="8">
        <v>6</v>
      </c>
      <c r="O31" s="5">
        <v>0</v>
      </c>
      <c r="P31" s="53">
        <f t="shared" si="5"/>
        <v>0</v>
      </c>
      <c r="Q31" s="11">
        <f t="shared" si="6"/>
        <v>0</v>
      </c>
      <c r="R31" s="5">
        <f t="shared" si="1"/>
        <v>0</v>
      </c>
      <c r="S31" s="5">
        <f t="shared" si="2"/>
        <v>0</v>
      </c>
      <c r="T31" s="5">
        <f t="shared" si="3"/>
        <v>0</v>
      </c>
      <c r="U31" s="5">
        <f t="shared" si="7"/>
        <v>85.520795091448562</v>
      </c>
      <c r="V31" s="5" t="str">
        <f t="shared" si="8"/>
        <v/>
      </c>
      <c r="W31" s="26" t="str">
        <f t="shared" si="9"/>
        <v/>
      </c>
    </row>
    <row r="32" spans="2:23">
      <c r="B32" s="47" t="s">
        <v>82</v>
      </c>
      <c r="C32" s="46" t="s">
        <v>83</v>
      </c>
      <c r="D32" s="4"/>
      <c r="E32" s="8">
        <v>8.9849999999999999E-2</v>
      </c>
      <c r="F32" s="9">
        <v>2.016</v>
      </c>
      <c r="G32" s="8">
        <v>4125</v>
      </c>
      <c r="H32" s="8">
        <v>14266</v>
      </c>
      <c r="I32" s="8">
        <v>10130</v>
      </c>
      <c r="J32" s="8">
        <f t="shared" si="10"/>
        <v>1.4082922013820336</v>
      </c>
      <c r="K32" s="8">
        <v>8.42</v>
      </c>
      <c r="L32" s="10">
        <f t="shared" si="4"/>
        <v>496.03174603174602</v>
      </c>
      <c r="M32" s="8">
        <v>20.216999999999999</v>
      </c>
      <c r="N32" s="8">
        <v>0.46</v>
      </c>
      <c r="O32" s="5">
        <v>0</v>
      </c>
      <c r="P32" s="53">
        <f>O32/$O$34</f>
        <v>0</v>
      </c>
      <c r="Q32" s="11">
        <f t="shared" si="6"/>
        <v>0</v>
      </c>
      <c r="R32" s="5">
        <f t="shared" si="1"/>
        <v>0</v>
      </c>
      <c r="S32" s="5">
        <f t="shared" si="2"/>
        <v>0</v>
      </c>
      <c r="T32" s="5">
        <f t="shared" si="3"/>
        <v>0</v>
      </c>
      <c r="U32" s="5">
        <f t="shared" si="7"/>
        <v>23.73324862934847</v>
      </c>
      <c r="V32" s="5" t="str">
        <f t="shared" si="8"/>
        <v/>
      </c>
      <c r="W32" s="26" t="str">
        <f t="shared" si="9"/>
        <v/>
      </c>
    </row>
    <row r="33" spans="2:23">
      <c r="B33" s="45" t="s">
        <v>84</v>
      </c>
      <c r="C33" s="48" t="s">
        <v>85</v>
      </c>
      <c r="D33" s="4"/>
      <c r="E33" s="8" t="s">
        <v>45</v>
      </c>
      <c r="F33" s="9">
        <v>18.02</v>
      </c>
      <c r="G33" s="8">
        <v>461.5</v>
      </c>
      <c r="H33" s="8" t="s">
        <v>45</v>
      </c>
      <c r="I33" s="8" t="s">
        <v>45</v>
      </c>
      <c r="J33" s="8">
        <v>1.32</v>
      </c>
      <c r="K33" s="8" t="s">
        <v>45</v>
      </c>
      <c r="L33" s="10">
        <f>(F33^-1)*1000</f>
        <v>55.493895671476139</v>
      </c>
      <c r="M33" s="8">
        <v>372.15</v>
      </c>
      <c r="N33" s="8">
        <v>40.68</v>
      </c>
      <c r="O33" s="5">
        <v>0</v>
      </c>
      <c r="P33" s="53">
        <f>O33/$O$34</f>
        <v>0</v>
      </c>
      <c r="Q33" s="11">
        <f t="shared" si="6"/>
        <v>0</v>
      </c>
      <c r="R33" s="5">
        <f t="shared" si="1"/>
        <v>0</v>
      </c>
      <c r="S33" s="5">
        <f t="shared" si="2"/>
        <v>0</v>
      </c>
      <c r="T33" s="5">
        <f t="shared" si="3"/>
        <v>0</v>
      </c>
      <c r="U33" s="5">
        <f>((1/M33)-((8.314*LN($P$35/1))/(N33*1000)))^-1</f>
        <v>383.99193546873749</v>
      </c>
      <c r="V33" s="5" t="str">
        <f t="shared" si="8"/>
        <v/>
      </c>
      <c r="W33" s="26" t="str">
        <f t="shared" si="9"/>
        <v/>
      </c>
    </row>
    <row r="34" spans="2:23">
      <c r="B34" s="30"/>
      <c r="C34" s="31"/>
      <c r="D34" s="24"/>
      <c r="E34" s="5"/>
      <c r="F34" s="5"/>
      <c r="G34" s="5"/>
      <c r="H34" s="5"/>
      <c r="I34" s="5"/>
      <c r="J34" s="5"/>
      <c r="K34" s="5" t="s">
        <v>86</v>
      </c>
      <c r="L34" s="5"/>
      <c r="M34" s="5"/>
      <c r="N34" s="5"/>
      <c r="O34" s="8">
        <f>SUM(O4:O33)</f>
        <v>10188</v>
      </c>
      <c r="P34" s="24"/>
      <c r="Q34" s="5"/>
      <c r="R34" s="5">
        <f>SUM(R4:R33)</f>
        <v>29.264711425206126</v>
      </c>
      <c r="S34" s="5">
        <f>SUM(S4:S33)</f>
        <v>8314.5657432273256</v>
      </c>
      <c r="T34" s="5">
        <f>SUM(T4:T33)</f>
        <v>1.4046207051980113</v>
      </c>
      <c r="U34" s="5"/>
      <c r="V34" s="5"/>
      <c r="W34" s="26"/>
    </row>
    <row r="35" spans="2:23">
      <c r="B35" s="41" t="s">
        <v>87</v>
      </c>
      <c r="C35" s="31"/>
      <c r="D35" s="2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1">
        <v>1.5</v>
      </c>
      <c r="Q35" s="2"/>
      <c r="R35" s="5">
        <f>101325*P35</f>
        <v>151987.5</v>
      </c>
      <c r="S35" s="5" t="s">
        <v>88</v>
      </c>
      <c r="T35" s="5" t="s">
        <v>89</v>
      </c>
      <c r="U35" s="5"/>
      <c r="V35" s="5"/>
      <c r="W35" s="26" t="s">
        <v>90</v>
      </c>
    </row>
    <row r="36" spans="2:23">
      <c r="B36" s="41" t="s">
        <v>91</v>
      </c>
      <c r="C36" s="31"/>
      <c r="D36" s="24"/>
      <c r="E36" s="5"/>
      <c r="F36" s="5"/>
      <c r="G36" s="5" t="s">
        <v>92</v>
      </c>
      <c r="H36" s="5"/>
      <c r="I36" s="5" t="s">
        <v>93</v>
      </c>
      <c r="J36" s="5"/>
      <c r="K36" s="5" t="s">
        <v>94</v>
      </c>
      <c r="L36" s="5"/>
      <c r="M36" s="5"/>
      <c r="N36" s="5"/>
      <c r="O36" s="5"/>
      <c r="P36" s="1">
        <v>22</v>
      </c>
      <c r="Q36" s="2"/>
      <c r="R36" s="5">
        <f>P36+272.15</f>
        <v>294.14999999999998</v>
      </c>
      <c r="S36" s="5" t="s">
        <v>95</v>
      </c>
      <c r="T36" s="5">
        <f>((T34*8.314*R36)/(P40/1000))^(1/2)</f>
        <v>342.60748469662491</v>
      </c>
      <c r="U36" s="5"/>
      <c r="V36" s="5"/>
      <c r="W36" s="26" t="s">
        <v>96</v>
      </c>
    </row>
    <row r="37" spans="2:23" ht="15.75">
      <c r="B37" s="41" t="s">
        <v>97</v>
      </c>
      <c r="C37" s="31"/>
      <c r="D37" s="24"/>
      <c r="E37" s="5" t="s">
        <v>98</v>
      </c>
      <c r="F37" s="5">
        <f>P38/2</f>
        <v>6450</v>
      </c>
      <c r="G37" s="12">
        <v>8.3144597999999998</v>
      </c>
      <c r="H37" s="5"/>
      <c r="I37" s="13">
        <v>5.9721900000000004E+24</v>
      </c>
      <c r="J37" s="5"/>
      <c r="K37" s="13">
        <v>5.15E+18</v>
      </c>
      <c r="L37" s="13"/>
      <c r="M37" s="13"/>
      <c r="N37" s="13"/>
      <c r="O37" s="5"/>
      <c r="P37" s="1">
        <v>1.2</v>
      </c>
      <c r="Q37" s="2"/>
      <c r="R37" s="5">
        <f>P37*9.80665</f>
        <v>11.76798</v>
      </c>
      <c r="S37" s="5" t="s">
        <v>99</v>
      </c>
      <c r="T37" s="5" t="s">
        <v>100</v>
      </c>
      <c r="U37" s="5"/>
      <c r="V37" s="5"/>
      <c r="W37" s="26" t="s">
        <v>101</v>
      </c>
    </row>
    <row r="38" spans="2:23" ht="16.5" thickBot="1">
      <c r="B38" s="41" t="s">
        <v>102</v>
      </c>
      <c r="C38" s="31"/>
      <c r="D38" s="24"/>
      <c r="E38" s="5" t="s">
        <v>103</v>
      </c>
      <c r="F38" s="14">
        <f>F37+P43</f>
        <v>6457.1016084397288</v>
      </c>
      <c r="G38" s="12" t="s">
        <v>104</v>
      </c>
      <c r="H38" s="5">
        <f>(4/3)*PI()*F37^3</f>
        <v>1124003731990.3364</v>
      </c>
      <c r="I38" s="5"/>
      <c r="J38" s="5"/>
      <c r="K38" s="5"/>
      <c r="L38" s="5"/>
      <c r="M38" s="5"/>
      <c r="N38" s="5"/>
      <c r="O38" s="5"/>
      <c r="P38" s="3">
        <v>12900</v>
      </c>
      <c r="Q38" s="2"/>
      <c r="R38" s="5"/>
      <c r="S38" s="5"/>
      <c r="T38" s="5"/>
      <c r="U38" s="5"/>
      <c r="V38" s="5"/>
      <c r="W38" s="35" t="s">
        <v>105</v>
      </c>
    </row>
    <row r="39" spans="2:23" ht="15.75">
      <c r="B39" s="16" t="s">
        <v>106</v>
      </c>
      <c r="C39" s="17"/>
      <c r="D39" s="17"/>
      <c r="E39" s="17"/>
      <c r="F39" s="17"/>
      <c r="G39" s="18"/>
      <c r="H39" s="19"/>
      <c r="I39" s="19"/>
      <c r="J39" s="19"/>
      <c r="K39" s="19"/>
      <c r="L39" s="19"/>
      <c r="M39" s="19"/>
      <c r="N39" s="19"/>
      <c r="O39" s="19"/>
      <c r="P39" s="20">
        <f>T36</f>
        <v>342.60748469662491</v>
      </c>
      <c r="Q39" s="20"/>
      <c r="R39" s="19"/>
      <c r="S39" s="19"/>
      <c r="T39" s="19"/>
      <c r="U39" s="19"/>
      <c r="V39" s="19"/>
      <c r="W39" s="21" t="s">
        <v>107</v>
      </c>
    </row>
    <row r="40" spans="2:23">
      <c r="B40" s="22" t="s">
        <v>108</v>
      </c>
      <c r="C40" s="23"/>
      <c r="D40" s="23"/>
      <c r="E40" s="23"/>
      <c r="F40" s="23"/>
      <c r="G40" s="24" t="s">
        <v>109</v>
      </c>
      <c r="H40" s="24">
        <f>(4/3)*PI()*F38^3</f>
        <v>1127720488386.1648</v>
      </c>
      <c r="I40" s="24"/>
      <c r="J40" s="24"/>
      <c r="K40" s="24"/>
      <c r="L40" s="24"/>
      <c r="M40" s="24"/>
      <c r="N40" s="24"/>
      <c r="O40" s="24"/>
      <c r="P40" s="24">
        <f>R34</f>
        <v>29.264711425206126</v>
      </c>
      <c r="Q40" s="24"/>
      <c r="R40" s="24"/>
      <c r="S40" s="25" t="s">
        <v>110</v>
      </c>
      <c r="T40" s="24"/>
      <c r="U40" s="24"/>
      <c r="V40" s="24"/>
      <c r="W40" s="26" t="s">
        <v>20</v>
      </c>
    </row>
    <row r="41" spans="2:23">
      <c r="B41" s="22" t="s">
        <v>111</v>
      </c>
      <c r="C41" s="23"/>
      <c r="D41" s="23"/>
      <c r="E41" s="23"/>
      <c r="F41" s="23"/>
      <c r="G41" s="25" t="s">
        <v>112</v>
      </c>
      <c r="H41" s="24">
        <f>(H40-H38)*1000000000</f>
        <v>3.7167563958283689E+18</v>
      </c>
      <c r="I41" s="24" t="s">
        <v>113</v>
      </c>
      <c r="J41" s="24"/>
      <c r="K41" s="24"/>
      <c r="L41" s="24"/>
      <c r="M41" s="24"/>
      <c r="N41" s="24"/>
      <c r="O41" s="24"/>
      <c r="P41" s="24">
        <f>S34/P40</f>
        <v>284.11576052876666</v>
      </c>
      <c r="Q41" s="24"/>
      <c r="R41" s="24"/>
      <c r="S41" s="24"/>
      <c r="T41" s="24"/>
      <c r="U41" s="24"/>
      <c r="V41" s="24"/>
      <c r="W41" s="26" t="s">
        <v>21</v>
      </c>
    </row>
    <row r="42" spans="2:23">
      <c r="B42" s="27" t="s">
        <v>114</v>
      </c>
      <c r="C42" s="28"/>
      <c r="D42" s="28"/>
      <c r="E42" s="28"/>
      <c r="F42" s="28"/>
      <c r="G42" s="25" t="s">
        <v>115</v>
      </c>
      <c r="H42" s="24">
        <f>P42*H41</f>
        <v>6.7593944457316731E+18</v>
      </c>
      <c r="I42" s="24" t="s">
        <v>116</v>
      </c>
      <c r="J42" s="29">
        <f>H42/I37</f>
        <v>1.1318116881297603E-6</v>
      </c>
      <c r="K42" s="24" t="s">
        <v>117</v>
      </c>
      <c r="L42" s="24"/>
      <c r="M42" s="24"/>
      <c r="N42" s="24"/>
      <c r="O42" s="24"/>
      <c r="P42" s="24">
        <f>R35/(P41*R36)</f>
        <v>1.8186272453363679</v>
      </c>
      <c r="Q42" s="24"/>
      <c r="R42" s="24"/>
      <c r="S42" s="24"/>
      <c r="T42" s="24"/>
      <c r="U42" s="24"/>
      <c r="V42" s="24"/>
      <c r="W42" s="26" t="s">
        <v>118</v>
      </c>
    </row>
    <row r="43" spans="2:23">
      <c r="B43" s="30" t="s">
        <v>119</v>
      </c>
      <c r="C43" s="31"/>
      <c r="D43" s="31"/>
      <c r="E43" s="31"/>
      <c r="F43" s="31"/>
      <c r="G43" s="24"/>
      <c r="H43" s="24"/>
      <c r="I43" s="24"/>
      <c r="J43" s="32">
        <f>H42/K37</f>
        <v>1.3125037758702278</v>
      </c>
      <c r="K43" s="24" t="s">
        <v>120</v>
      </c>
      <c r="L43" s="24"/>
      <c r="M43" s="24"/>
      <c r="N43" s="24"/>
      <c r="O43" s="24"/>
      <c r="P43" s="33">
        <f>(G37*R36)/(P40*R37)</f>
        <v>7.1016084397289685</v>
      </c>
      <c r="Q43" s="33"/>
      <c r="R43" s="31"/>
      <c r="S43" s="31"/>
      <c r="T43" s="31"/>
      <c r="U43" s="31"/>
      <c r="V43" s="31"/>
      <c r="W43" s="26" t="s">
        <v>121</v>
      </c>
    </row>
    <row r="44" spans="2:23">
      <c r="B44" s="30" t="s">
        <v>122</v>
      </c>
      <c r="C44" s="31"/>
      <c r="D44" s="31"/>
      <c r="E44" s="31"/>
      <c r="F44" s="31"/>
      <c r="G44" s="34">
        <v>9.9999999999999995E-7</v>
      </c>
      <c r="H44" s="24"/>
      <c r="I44" s="24"/>
      <c r="J44" s="24"/>
      <c r="K44" s="24"/>
      <c r="L44" s="24"/>
      <c r="M44" s="24"/>
      <c r="N44" s="24"/>
      <c r="O44" s="24"/>
      <c r="P44" s="33">
        <f>LN(G44)*-1*P43</f>
        <v>98.112346377603757</v>
      </c>
      <c r="Q44" s="33"/>
      <c r="R44" s="24"/>
      <c r="S44" s="24"/>
      <c r="T44" s="24"/>
      <c r="U44" s="24"/>
      <c r="V44" s="24"/>
      <c r="W44" s="26" t="s">
        <v>121</v>
      </c>
    </row>
    <row r="45" spans="2:23">
      <c r="B45" s="30" t="s">
        <v>123</v>
      </c>
      <c r="C45" s="31"/>
      <c r="D45" s="31"/>
      <c r="E45" s="31"/>
      <c r="F45" s="31"/>
      <c r="G45" s="24"/>
      <c r="H45" s="24"/>
      <c r="I45" s="24"/>
      <c r="J45" s="24"/>
      <c r="K45" s="24"/>
      <c r="L45" s="24"/>
      <c r="M45" s="24"/>
      <c r="N45" s="24"/>
      <c r="O45" s="24"/>
      <c r="P45" s="29">
        <f>J42</f>
        <v>1.1318116881297603E-6</v>
      </c>
      <c r="Q45" s="29"/>
      <c r="R45" s="24"/>
      <c r="S45" s="24"/>
      <c r="T45" s="24"/>
      <c r="U45" s="24"/>
      <c r="V45" s="24"/>
      <c r="W45" s="35" t="s">
        <v>124</v>
      </c>
    </row>
    <row r="46" spans="2:23" ht="15.75" thickBot="1">
      <c r="B46" s="36" t="s">
        <v>125</v>
      </c>
      <c r="C46" s="37"/>
      <c r="D46" s="37"/>
      <c r="E46" s="37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9">
        <f>J43</f>
        <v>1.3125037758702278</v>
      </c>
      <c r="Q46" s="39"/>
      <c r="R46" s="38"/>
      <c r="S46" s="38"/>
      <c r="T46" s="38"/>
      <c r="U46" s="38"/>
      <c r="V46" s="38"/>
      <c r="W46" s="40" t="s">
        <v>126</v>
      </c>
    </row>
    <row r="55" spans="15:15">
      <c r="O55" s="15"/>
    </row>
  </sheetData>
  <sheetProtection sheet="1" objects="1" scenarios="1"/>
  <mergeCells count="4">
    <mergeCell ref="B39:F39"/>
    <mergeCell ref="B40:F40"/>
    <mergeCell ref="B41:F41"/>
    <mergeCell ref="B42:F42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LKWIN7</dc:creator>
  <cp:lastModifiedBy>LKWIN7</cp:lastModifiedBy>
  <dcterms:created xsi:type="dcterms:W3CDTF">2016-01-26T21:07:25Z</dcterms:created>
  <dcterms:modified xsi:type="dcterms:W3CDTF">2016-01-26T21:17:22Z</dcterms:modified>
</cp:coreProperties>
</file>