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Atmosphere" sheetId="1" r:id="rId1"/>
  </sheets>
  <calcPr calcId="125725"/>
</workbook>
</file>

<file path=xl/calcChain.xml><?xml version="1.0" encoding="utf-8"?>
<calcChain xmlns="http://schemas.openxmlformats.org/spreadsheetml/2006/main">
  <c r="AF105" i="1"/>
  <c r="AP92"/>
  <c r="AE98" s="1"/>
  <c r="C69" s="1"/>
  <c r="AS40" s="1"/>
  <c r="AI84"/>
  <c r="AJ84" s="1"/>
  <c r="AK84" s="1"/>
  <c r="AH84"/>
  <c r="AJ83"/>
  <c r="AK83" s="1"/>
  <c r="AI83"/>
  <c r="AH83"/>
  <c r="AI82"/>
  <c r="AJ82" s="1"/>
  <c r="AK82" s="1"/>
  <c r="AH82"/>
  <c r="AH81"/>
  <c r="AI81" s="1"/>
  <c r="AJ81" s="1"/>
  <c r="AK81" s="1"/>
  <c r="AJ80"/>
  <c r="AK80" s="1"/>
  <c r="AI80"/>
  <c r="AH80"/>
  <c r="AH79"/>
  <c r="AI79" s="1"/>
  <c r="AJ79" s="1"/>
  <c r="AK79" s="1"/>
  <c r="AI78"/>
  <c r="AJ78" s="1"/>
  <c r="AK78" s="1"/>
  <c r="AH78"/>
  <c r="AH77"/>
  <c r="AI77" s="1"/>
  <c r="AJ77" s="1"/>
  <c r="AK77" s="1"/>
  <c r="AJ76"/>
  <c r="AK76" s="1"/>
  <c r="AI76"/>
  <c r="AH76"/>
  <c r="N59"/>
  <c r="N57"/>
  <c r="N56"/>
  <c r="N51"/>
  <c r="AM49"/>
  <c r="K49"/>
  <c r="K52" s="1"/>
  <c r="R62" s="1"/>
  <c r="M45"/>
  <c r="M46" s="1"/>
  <c r="AM44"/>
  <c r="AM43"/>
  <c r="X42"/>
  <c r="T42"/>
  <c r="AM42" s="1"/>
  <c r="M42"/>
  <c r="M43" s="1"/>
  <c r="F42"/>
  <c r="H46" s="1"/>
  <c r="T40"/>
  <c r="T39"/>
  <c r="T38"/>
  <c r="AK41" s="1"/>
  <c r="AS35"/>
  <c r="X35"/>
  <c r="N58" s="1"/>
  <c r="AC34"/>
  <c r="Q34"/>
  <c r="R30" s="1"/>
  <c r="AL33"/>
  <c r="AH33"/>
  <c r="AG33"/>
  <c r="AC33"/>
  <c r="W33"/>
  <c r="L33"/>
  <c r="AH32"/>
  <c r="AG32"/>
  <c r="AC32"/>
  <c r="W32"/>
  <c r="L32"/>
  <c r="J32"/>
  <c r="AL31"/>
  <c r="AH31"/>
  <c r="AG31"/>
  <c r="AC31"/>
  <c r="W31"/>
  <c r="L31"/>
  <c r="J31"/>
  <c r="BJ30"/>
  <c r="BJ32" s="1"/>
  <c r="AL30"/>
  <c r="AG30"/>
  <c r="AH30" s="1"/>
  <c r="AC30"/>
  <c r="W30"/>
  <c r="L30"/>
  <c r="J30"/>
  <c r="AL29"/>
  <c r="AH29"/>
  <c r="AG29"/>
  <c r="AC29"/>
  <c r="W29"/>
  <c r="L29"/>
  <c r="J29"/>
  <c r="AL28"/>
  <c r="AH28"/>
  <c r="AG28"/>
  <c r="AC28"/>
  <c r="W28"/>
  <c r="L28"/>
  <c r="J28"/>
  <c r="AL27"/>
  <c r="AH27"/>
  <c r="AG27"/>
  <c r="AC27"/>
  <c r="W27"/>
  <c r="L27"/>
  <c r="J27"/>
  <c r="AL26"/>
  <c r="AH26"/>
  <c r="AG26"/>
  <c r="AC26"/>
  <c r="W26"/>
  <c r="L26"/>
  <c r="J26"/>
  <c r="AL25"/>
  <c r="AH25"/>
  <c r="AG25"/>
  <c r="AC25"/>
  <c r="W25"/>
  <c r="L25"/>
  <c r="J25"/>
  <c r="AH24"/>
  <c r="AG24"/>
  <c r="AC24"/>
  <c r="W24"/>
  <c r="L24"/>
  <c r="AH23"/>
  <c r="AG23"/>
  <c r="AC23"/>
  <c r="W23"/>
  <c r="L23"/>
  <c r="J23"/>
  <c r="AL22"/>
  <c r="AH22"/>
  <c r="AG22"/>
  <c r="AC22"/>
  <c r="W22"/>
  <c r="L22"/>
  <c r="J22"/>
  <c r="AL21"/>
  <c r="AH21"/>
  <c r="AG21"/>
  <c r="AC21"/>
  <c r="W21"/>
  <c r="L21"/>
  <c r="J21"/>
  <c r="AH20"/>
  <c r="AG20"/>
  <c r="AC20"/>
  <c r="W20"/>
  <c r="L20"/>
  <c r="J20"/>
  <c r="AH19"/>
  <c r="AG19"/>
  <c r="AC19"/>
  <c r="W19"/>
  <c r="L19"/>
  <c r="J19"/>
  <c r="AU18"/>
  <c r="AH18"/>
  <c r="AG18"/>
  <c r="AC18"/>
  <c r="W18"/>
  <c r="L18"/>
  <c r="J18"/>
  <c r="AU17"/>
  <c r="AL17"/>
  <c r="AH17"/>
  <c r="AG17"/>
  <c r="AC17"/>
  <c r="W17"/>
  <c r="L17"/>
  <c r="J17"/>
  <c r="AU16"/>
  <c r="AH16"/>
  <c r="AG16"/>
  <c r="AC16"/>
  <c r="W16"/>
  <c r="L16"/>
  <c r="J16"/>
  <c r="AU15"/>
  <c r="AH15"/>
  <c r="AG15"/>
  <c r="AC15"/>
  <c r="W15"/>
  <c r="L15"/>
  <c r="J15"/>
  <c r="AU14"/>
  <c r="AL14"/>
  <c r="AG14"/>
  <c r="AH14" s="1"/>
  <c r="AC14"/>
  <c r="W14"/>
  <c r="L14"/>
  <c r="AU13"/>
  <c r="AL13"/>
  <c r="AH13"/>
  <c r="AG13"/>
  <c r="AC13"/>
  <c r="W13"/>
  <c r="L13"/>
  <c r="AU12"/>
  <c r="AL12"/>
  <c r="AH12"/>
  <c r="AG12"/>
  <c r="AC12"/>
  <c r="W12"/>
  <c r="L12"/>
  <c r="J12"/>
  <c r="AU11"/>
  <c r="AL11"/>
  <c r="AG11"/>
  <c r="AH11" s="1"/>
  <c r="AC11"/>
  <c r="W11"/>
  <c r="L11"/>
  <c r="J11"/>
  <c r="AU10"/>
  <c r="AL10"/>
  <c r="AH10"/>
  <c r="AG10"/>
  <c r="AC10"/>
  <c r="W10"/>
  <c r="L10"/>
  <c r="I10"/>
  <c r="AU9"/>
  <c r="AL9"/>
  <c r="AH9"/>
  <c r="AG9"/>
  <c r="AC9"/>
  <c r="W9"/>
  <c r="L9"/>
  <c r="J9"/>
  <c r="AU8"/>
  <c r="AL8"/>
  <c r="AG8"/>
  <c r="AH8" s="1"/>
  <c r="AC8"/>
  <c r="W8"/>
  <c r="L8"/>
  <c r="J8"/>
  <c r="AU7"/>
  <c r="AG7"/>
  <c r="AH7" s="1"/>
  <c r="AC7"/>
  <c r="W7"/>
  <c r="L7"/>
  <c r="J7"/>
  <c r="AU6"/>
  <c r="AG6"/>
  <c r="AH6" s="1"/>
  <c r="AC6"/>
  <c r="W6"/>
  <c r="L6"/>
  <c r="J6"/>
  <c r="AU5"/>
  <c r="AL5"/>
  <c r="AH5"/>
  <c r="AG5"/>
  <c r="AC5"/>
  <c r="W5"/>
  <c r="L5"/>
  <c r="J5"/>
  <c r="AU4"/>
  <c r="AL4"/>
  <c r="AH4"/>
  <c r="AG4"/>
  <c r="AC4"/>
  <c r="W4"/>
  <c r="L4"/>
  <c r="J4"/>
  <c r="AU3"/>
  <c r="AA3"/>
  <c r="AM45" l="1"/>
  <c r="AM50"/>
  <c r="AM51" s="1"/>
  <c r="AD98"/>
  <c r="N60"/>
  <c r="N50" s="1"/>
  <c r="N52" s="1"/>
  <c r="R55" s="1"/>
  <c r="AT11" s="1"/>
  <c r="R11"/>
  <c r="S11" s="1"/>
  <c r="AD11" s="1"/>
  <c r="AF11" s="1"/>
  <c r="R6"/>
  <c r="X6" s="1"/>
  <c r="N6" s="1"/>
  <c r="R12"/>
  <c r="Z12" s="1"/>
  <c r="R17"/>
  <c r="X17" s="1"/>
  <c r="N17" s="1"/>
  <c r="R19"/>
  <c r="R27"/>
  <c r="V27" s="1"/>
  <c r="R28"/>
  <c r="Y28" s="1"/>
  <c r="R5"/>
  <c r="V5" s="1"/>
  <c r="R22"/>
  <c r="X22" s="1"/>
  <c r="N22" s="1"/>
  <c r="R24"/>
  <c r="X24" s="1"/>
  <c r="R25"/>
  <c r="V25" s="1"/>
  <c r="R4"/>
  <c r="X4" s="1"/>
  <c r="R16"/>
  <c r="R21"/>
  <c r="V21" s="1"/>
  <c r="R15"/>
  <c r="T15" s="1"/>
  <c r="U15" s="1"/>
  <c r="R18"/>
  <c r="AK18" s="1"/>
  <c r="AL18" s="1"/>
  <c r="R8"/>
  <c r="X8" s="1"/>
  <c r="N8" s="1"/>
  <c r="R9"/>
  <c r="Z9" s="1"/>
  <c r="R29"/>
  <c r="V29" s="1"/>
  <c r="R31"/>
  <c r="X31" s="1"/>
  <c r="N31" s="1"/>
  <c r="R7"/>
  <c r="AK7" s="1"/>
  <c r="AL7" s="1"/>
  <c r="R13"/>
  <c r="Z13" s="1"/>
  <c r="R14"/>
  <c r="Z14" s="1"/>
  <c r="R33"/>
  <c r="X30"/>
  <c r="N30" s="1"/>
  <c r="S30"/>
  <c r="T30"/>
  <c r="U30" s="1"/>
  <c r="R20"/>
  <c r="Y20" s="1"/>
  <c r="R23"/>
  <c r="V23" s="1"/>
  <c r="V30"/>
  <c r="R10"/>
  <c r="R26"/>
  <c r="Z26" s="1"/>
  <c r="R32"/>
  <c r="V32" s="1"/>
  <c r="AT18"/>
  <c r="O42"/>
  <c r="M44" s="1"/>
  <c r="R53" s="1"/>
  <c r="AT9" s="1"/>
  <c r="AM52"/>
  <c r="K51"/>
  <c r="R56" s="1"/>
  <c r="AT12" s="1"/>
  <c r="V7" l="1"/>
  <c r="O46"/>
  <c r="R48"/>
  <c r="R49" s="1"/>
  <c r="N61"/>
  <c r="Z11"/>
  <c r="X11"/>
  <c r="N11" s="1"/>
  <c r="V11"/>
  <c r="Z22"/>
  <c r="Y11"/>
  <c r="T24"/>
  <c r="U24" s="1"/>
  <c r="AK24"/>
  <c r="AL24" s="1"/>
  <c r="Z15"/>
  <c r="Z5"/>
  <c r="V9"/>
  <c r="AK15"/>
  <c r="AL15" s="1"/>
  <c r="Z20"/>
  <c r="T5"/>
  <c r="U5" s="1"/>
  <c r="V15"/>
  <c r="V20"/>
  <c r="X15"/>
  <c r="N15" s="1"/>
  <c r="T11"/>
  <c r="U11" s="1"/>
  <c r="S13"/>
  <c r="AD13" s="1"/>
  <c r="AF13" s="1"/>
  <c r="Y13"/>
  <c r="Y23"/>
  <c r="Y5"/>
  <c r="AK19"/>
  <c r="AL19" s="1"/>
  <c r="Y27"/>
  <c r="V17"/>
  <c r="V13"/>
  <c r="X13"/>
  <c r="N13" s="1"/>
  <c r="T13"/>
  <c r="U13" s="1"/>
  <c r="V28"/>
  <c r="Z25"/>
  <c r="T4"/>
  <c r="U4" s="1"/>
  <c r="Y29"/>
  <c r="X25"/>
  <c r="N25" s="1"/>
  <c r="AK6"/>
  <c r="AL6" s="1"/>
  <c r="Y6"/>
  <c r="S6"/>
  <c r="AD6" s="1"/>
  <c r="AF6" s="1"/>
  <c r="Y12"/>
  <c r="X18"/>
  <c r="N18" s="1"/>
  <c r="Z8"/>
  <c r="Y14"/>
  <c r="V14"/>
  <c r="Y18"/>
  <c r="T6"/>
  <c r="U6" s="1"/>
  <c r="X28"/>
  <c r="N28" s="1"/>
  <c r="V12"/>
  <c r="X21"/>
  <c r="N21" s="1"/>
  <c r="Z17"/>
  <c r="S21"/>
  <c r="T21"/>
  <c r="U21" s="1"/>
  <c r="Z6"/>
  <c r="Y31"/>
  <c r="V6"/>
  <c r="T8"/>
  <c r="U8" s="1"/>
  <c r="X27"/>
  <c r="N27" s="1"/>
  <c r="S8"/>
  <c r="AD8" s="1"/>
  <c r="AF8" s="1"/>
  <c r="Y22"/>
  <c r="S22"/>
  <c r="T22"/>
  <c r="U22" s="1"/>
  <c r="T12"/>
  <c r="U12" s="1"/>
  <c r="S12"/>
  <c r="X12"/>
  <c r="N12" s="1"/>
  <c r="Y9"/>
  <c r="S9"/>
  <c r="T9"/>
  <c r="U9" s="1"/>
  <c r="X9"/>
  <c r="N9" s="1"/>
  <c r="V24"/>
  <c r="S24"/>
  <c r="Y17"/>
  <c r="S17"/>
  <c r="T17"/>
  <c r="U17" s="1"/>
  <c r="S19"/>
  <c r="AD19" s="1"/>
  <c r="AF19" s="1"/>
  <c r="T19"/>
  <c r="U19" s="1"/>
  <c r="Y8"/>
  <c r="V22"/>
  <c r="H36"/>
  <c r="V8"/>
  <c r="V33"/>
  <c r="S33"/>
  <c r="Z28"/>
  <c r="S28"/>
  <c r="T28"/>
  <c r="U28" s="1"/>
  <c r="X19"/>
  <c r="Z29"/>
  <c r="S29"/>
  <c r="Z31"/>
  <c r="S31"/>
  <c r="Y16"/>
  <c r="AK16"/>
  <c r="AL16" s="1"/>
  <c r="S16"/>
  <c r="T16"/>
  <c r="U16" s="1"/>
  <c r="X7"/>
  <c r="N7" s="1"/>
  <c r="S7"/>
  <c r="T7"/>
  <c r="U7" s="1"/>
  <c r="Y21"/>
  <c r="Z21"/>
  <c r="X5"/>
  <c r="N5" s="1"/>
  <c r="S5"/>
  <c r="V19"/>
  <c r="V31"/>
  <c r="V4"/>
  <c r="V16"/>
  <c r="Y25"/>
  <c r="S25"/>
  <c r="T25"/>
  <c r="U25" s="1"/>
  <c r="Y15"/>
  <c r="S15"/>
  <c r="X33"/>
  <c r="N33" s="1"/>
  <c r="X29"/>
  <c r="T27"/>
  <c r="U27" s="1"/>
  <c r="Z27"/>
  <c r="Z16"/>
  <c r="AD30"/>
  <c r="AF30" s="1"/>
  <c r="S4"/>
  <c r="AD4" s="1"/>
  <c r="AF4" s="1"/>
  <c r="X16"/>
  <c r="N16" s="1"/>
  <c r="T29"/>
  <c r="U29" s="1"/>
  <c r="X14"/>
  <c r="N14" s="1"/>
  <c r="S14"/>
  <c r="T14"/>
  <c r="U14" s="1"/>
  <c r="Z18"/>
  <c r="V18"/>
  <c r="S18"/>
  <c r="T18"/>
  <c r="U18" s="1"/>
  <c r="T33"/>
  <c r="U33" s="1"/>
  <c r="S27"/>
  <c r="T31"/>
  <c r="U31" s="1"/>
  <c r="Z10"/>
  <c r="V10"/>
  <c r="S10"/>
  <c r="T10"/>
  <c r="U10" s="1"/>
  <c r="X10"/>
  <c r="Y10"/>
  <c r="Z32"/>
  <c r="AK32"/>
  <c r="AL32" s="1"/>
  <c r="T32"/>
  <c r="U32" s="1"/>
  <c r="X32"/>
  <c r="S32"/>
  <c r="Y32"/>
  <c r="T20"/>
  <c r="U20" s="1"/>
  <c r="S20"/>
  <c r="X20"/>
  <c r="N20" s="1"/>
  <c r="AK20"/>
  <c r="AL20" s="1"/>
  <c r="H37"/>
  <c r="Y26"/>
  <c r="T26"/>
  <c r="U26" s="1"/>
  <c r="X26"/>
  <c r="N26" s="1"/>
  <c r="S26"/>
  <c r="V26"/>
  <c r="T23"/>
  <c r="U23" s="1"/>
  <c r="S23"/>
  <c r="X23"/>
  <c r="AK23"/>
  <c r="AL23" s="1"/>
  <c r="Z23"/>
  <c r="N4"/>
  <c r="N24"/>
  <c r="AT4" l="1"/>
  <c r="AA11"/>
  <c r="AA22"/>
  <c r="AA6"/>
  <c r="AD81" s="1"/>
  <c r="AC81" s="1"/>
  <c r="AA15"/>
  <c r="AD76" s="1"/>
  <c r="AC76" s="1"/>
  <c r="AI13"/>
  <c r="AJ13" s="1"/>
  <c r="AA31"/>
  <c r="AA14"/>
  <c r="AA13"/>
  <c r="AA12"/>
  <c r="AA17"/>
  <c r="AI21"/>
  <c r="AJ21" s="1"/>
  <c r="AD21"/>
  <c r="AF21" s="1"/>
  <c r="AA21"/>
  <c r="AA25"/>
  <c r="AA8"/>
  <c r="AA5"/>
  <c r="AA16"/>
  <c r="AI30"/>
  <c r="AJ30" s="1"/>
  <c r="AI6"/>
  <c r="AJ6" s="1"/>
  <c r="AL34"/>
  <c r="AM36" s="1"/>
  <c r="AM37" s="1"/>
  <c r="AM40" s="1"/>
  <c r="AA18"/>
  <c r="AD80" s="1"/>
  <c r="AC80" s="1"/>
  <c r="AI8"/>
  <c r="AJ8" s="1"/>
  <c r="AI4"/>
  <c r="AJ4" s="1"/>
  <c r="AA28"/>
  <c r="AA27"/>
  <c r="N19"/>
  <c r="AI9"/>
  <c r="AJ9" s="1"/>
  <c r="AD9"/>
  <c r="AF9" s="1"/>
  <c r="AI25"/>
  <c r="AJ25" s="1"/>
  <c r="AD25"/>
  <c r="AF25" s="1"/>
  <c r="V34"/>
  <c r="AA9"/>
  <c r="AI14"/>
  <c r="AJ14" s="1"/>
  <c r="AD14"/>
  <c r="AF14" s="1"/>
  <c r="AI33"/>
  <c r="AJ33" s="1"/>
  <c r="AD33"/>
  <c r="AF33" s="1"/>
  <c r="AI24"/>
  <c r="AJ24" s="1"/>
  <c r="AD24"/>
  <c r="AF24" s="1"/>
  <c r="AI27"/>
  <c r="AJ27" s="1"/>
  <c r="AD27"/>
  <c r="AF27" s="1"/>
  <c r="AD28"/>
  <c r="AF28" s="1"/>
  <c r="AI28"/>
  <c r="AJ28" s="1"/>
  <c r="AI17"/>
  <c r="AJ17" s="1"/>
  <c r="AD17"/>
  <c r="AF17" s="1"/>
  <c r="AI19"/>
  <c r="AJ19" s="1"/>
  <c r="AI7"/>
  <c r="AJ7" s="1"/>
  <c r="AD7"/>
  <c r="AF7" s="1"/>
  <c r="AD29"/>
  <c r="AF29" s="1"/>
  <c r="AI29"/>
  <c r="AJ29" s="1"/>
  <c r="AI22"/>
  <c r="AJ22" s="1"/>
  <c r="AD22"/>
  <c r="AF22" s="1"/>
  <c r="AI15"/>
  <c r="AJ15" s="1"/>
  <c r="AD15"/>
  <c r="AF15" s="1"/>
  <c r="AI31"/>
  <c r="AJ31" s="1"/>
  <c r="AD31"/>
  <c r="AF31" s="1"/>
  <c r="AD12"/>
  <c r="AF12" s="1"/>
  <c r="AI12"/>
  <c r="AJ12" s="1"/>
  <c r="AD96"/>
  <c r="AI18"/>
  <c r="AJ18" s="1"/>
  <c r="AD18"/>
  <c r="AF18" s="1"/>
  <c r="AP88"/>
  <c r="AE96" s="1"/>
  <c r="C68" s="1"/>
  <c r="AS39" s="1"/>
  <c r="AI11"/>
  <c r="AJ11" s="1"/>
  <c r="N29"/>
  <c r="AA29"/>
  <c r="AI5"/>
  <c r="AJ5" s="1"/>
  <c r="AD5"/>
  <c r="AF5" s="1"/>
  <c r="AI16"/>
  <c r="AJ16" s="1"/>
  <c r="AD16"/>
  <c r="AF16" s="1"/>
  <c r="AD23"/>
  <c r="AF23" s="1"/>
  <c r="AI23"/>
  <c r="AJ23" s="1"/>
  <c r="AA23"/>
  <c r="AD77" s="1"/>
  <c r="AC77" s="1"/>
  <c r="N23"/>
  <c r="AD26"/>
  <c r="AF26" s="1"/>
  <c r="AI26"/>
  <c r="AJ26" s="1"/>
  <c r="AD20"/>
  <c r="AF20" s="1"/>
  <c r="AI20"/>
  <c r="AJ20" s="1"/>
  <c r="Q35"/>
  <c r="AA26"/>
  <c r="AA10"/>
  <c r="N10"/>
  <c r="T34"/>
  <c r="R50" s="1"/>
  <c r="AT6" s="1"/>
  <c r="AA20"/>
  <c r="AD84" s="1"/>
  <c r="AC84" s="1"/>
  <c r="U34"/>
  <c r="AA32"/>
  <c r="AD78" s="1"/>
  <c r="AC78" s="1"/>
  <c r="N32"/>
  <c r="AD32"/>
  <c r="AF32" s="1"/>
  <c r="AI32"/>
  <c r="AJ32" s="1"/>
  <c r="AD10"/>
  <c r="AF10" s="1"/>
  <c r="AI10"/>
  <c r="AJ10" s="1"/>
  <c r="T54"/>
  <c r="AT5"/>
  <c r="AL35" l="1"/>
  <c r="AM38" s="1"/>
  <c r="AM41" s="1"/>
  <c r="AM54" s="1"/>
  <c r="AM55" s="1"/>
  <c r="AM56" s="1"/>
  <c r="AS42" s="1"/>
  <c r="P37"/>
  <c r="R52" s="1"/>
  <c r="AT8" s="1"/>
  <c r="V40"/>
  <c r="R47" s="1"/>
  <c r="AT3" s="1"/>
  <c r="R58"/>
  <c r="R59" s="1"/>
  <c r="AT15" s="1"/>
  <c r="AF34"/>
  <c r="AE94" s="1"/>
  <c r="C66" s="1"/>
  <c r="AS37" s="1"/>
  <c r="AQ82"/>
  <c r="AE97" s="1"/>
  <c r="C70" s="1"/>
  <c r="AS41" s="1"/>
  <c r="R51"/>
  <c r="AT7" s="1"/>
  <c r="F46" l="1"/>
  <c r="H50" s="1"/>
  <c r="H51" s="1"/>
  <c r="R57"/>
  <c r="H39" s="1"/>
  <c r="K39" s="1"/>
  <c r="M39" s="1"/>
  <c r="M40" s="1"/>
  <c r="M41" s="1"/>
  <c r="R54" s="1"/>
  <c r="AD94"/>
  <c r="AT14"/>
  <c r="AD97"/>
  <c r="AT13" l="1"/>
  <c r="H57"/>
  <c r="J58" s="1"/>
  <c r="R61" s="1"/>
  <c r="AT17" s="1"/>
  <c r="AT10"/>
  <c r="Z3"/>
  <c r="Y3"/>
  <c r="Z19" l="1"/>
  <c r="Z4"/>
  <c r="Y19"/>
  <c r="Y4"/>
  <c r="Z24"/>
  <c r="Z33"/>
  <c r="Y24"/>
  <c r="Y33"/>
  <c r="J57"/>
  <c r="R60" s="1"/>
  <c r="AT16" s="1"/>
  <c r="Y7"/>
  <c r="Y30"/>
  <c r="Z7"/>
  <c r="Z30"/>
  <c r="AA19" l="1"/>
  <c r="AD82" s="1"/>
  <c r="AC82" s="1"/>
  <c r="AA4"/>
  <c r="AA24"/>
  <c r="AA33"/>
  <c r="AA7"/>
  <c r="AD79" s="1"/>
  <c r="AC79" s="1"/>
  <c r="AA30"/>
  <c r="AD83" s="1"/>
  <c r="AC83" s="1"/>
  <c r="AC86" l="1"/>
  <c r="AD95" s="1"/>
  <c r="AD99" s="1"/>
  <c r="C64" s="1"/>
  <c r="AT35" s="1"/>
  <c r="AH88" l="1"/>
  <c r="AE95" s="1"/>
  <c r="C67" s="1"/>
  <c r="AS38" s="1"/>
</calcChain>
</file>

<file path=xl/sharedStrings.xml><?xml version="1.0" encoding="utf-8"?>
<sst xmlns="http://schemas.openxmlformats.org/spreadsheetml/2006/main" count="351" uniqueCount="268">
  <si>
    <t>Atmosphere Composition</t>
  </si>
  <si>
    <t>Density</t>
  </si>
  <si>
    <t>Molar Mass</t>
  </si>
  <si>
    <t>Gas Constant</t>
  </si>
  <si>
    <t>Spec heat Cp</t>
  </si>
  <si>
    <t>Spec heat Cv</t>
  </si>
  <si>
    <t>Spec heat ratio</t>
  </si>
  <si>
    <t>Viscosity</t>
  </si>
  <si>
    <t>Mol/kg</t>
  </si>
  <si>
    <t>Heat conduct</t>
  </si>
  <si>
    <t>Boling point 1 atm (K)</t>
  </si>
  <si>
    <t>Heat evap (kj mol^-1)</t>
  </si>
  <si>
    <t>Parts pr. total</t>
  </si>
  <si>
    <t>Partial Pressure</t>
  </si>
  <si>
    <t>Air Mass</t>
  </si>
  <si>
    <t xml:space="preserve"> S G constant</t>
  </si>
  <si>
    <t>Y (spec heat ratio)</t>
  </si>
  <si>
    <t>Boiling point</t>
  </si>
  <si>
    <t>Phase</t>
  </si>
  <si>
    <t>max temp</t>
  </si>
  <si>
    <t>min temp</t>
  </si>
  <si>
    <t>Expected Attributes</t>
  </si>
  <si>
    <t>Gas</t>
  </si>
  <si>
    <t>Symbol</t>
  </si>
  <si>
    <r>
      <t>[kg/m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]</t>
    </r>
  </si>
  <si>
    <t>[g/mol]</t>
  </si>
  <si>
    <t>[J/kg*K]</t>
  </si>
  <si>
    <t>[-]</t>
  </si>
  <si>
    <r>
      <t>[Pa*s] - 0</t>
    </r>
    <r>
      <rPr>
        <b/>
        <vertAlign val="superscript"/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C and 1 bar</t>
    </r>
  </si>
  <si>
    <t>Heat cond counts</t>
  </si>
  <si>
    <t>%</t>
  </si>
  <si>
    <t>Kpa</t>
  </si>
  <si>
    <t>Gas/Vapor</t>
  </si>
  <si>
    <t>Toxity</t>
  </si>
  <si>
    <t>Toxicity</t>
  </si>
  <si>
    <t>toxic air</t>
  </si>
  <si>
    <t>weight</t>
  </si>
  <si>
    <t>hevier than oxygen?</t>
  </si>
  <si>
    <t>more abundant than oxygen</t>
  </si>
  <si>
    <t>well risk</t>
  </si>
  <si>
    <t>Is over 1% of atmosphere</t>
  </si>
  <si>
    <t>ligtest gas over 1% atmospehere</t>
  </si>
  <si>
    <t>Atmoar radius</t>
  </si>
  <si>
    <t>Speed of Sound</t>
  </si>
  <si>
    <t>Acethylene</t>
  </si>
  <si>
    <t>C2H2</t>
  </si>
  <si>
    <t>x</t>
  </si>
  <si>
    <t>Effective Temperature (equilibrium)</t>
  </si>
  <si>
    <t>Ammonia</t>
  </si>
  <si>
    <t>NH3</t>
  </si>
  <si>
    <t>Greenhouse Effect and Geoheating</t>
  </si>
  <si>
    <t>Argon</t>
  </si>
  <si>
    <t>Ar</t>
  </si>
  <si>
    <t>Average Atmosphere Molar Mass</t>
  </si>
  <si>
    <t>Nitrogen</t>
  </si>
  <si>
    <t>N2</t>
  </si>
  <si>
    <t>Local atmosphere Gas Constant</t>
  </si>
  <si>
    <t>Nitrogen Oxide</t>
  </si>
  <si>
    <t>NO</t>
  </si>
  <si>
    <t>Local  Dry Atmosphere Heat Conductivity</t>
  </si>
  <si>
    <t>Butane</t>
  </si>
  <si>
    <t>C4H10</t>
  </si>
  <si>
    <t>Length of solar day</t>
  </si>
  <si>
    <t>i-Butane</t>
  </si>
  <si>
    <t xml:space="preserve">Average day/night temperature variation </t>
  </si>
  <si>
    <t>Ethane</t>
  </si>
  <si>
    <t>C2H6</t>
  </si>
  <si>
    <t>Insolation</t>
  </si>
  <si>
    <t>Ethylene</t>
  </si>
  <si>
    <t>C2H4</t>
  </si>
  <si>
    <t>Planet Mass</t>
  </si>
  <si>
    <t>Ethyl Ether</t>
  </si>
  <si>
    <t>C4H10O</t>
  </si>
  <si>
    <t>-</t>
  </si>
  <si>
    <t>Air Density at sea level (reference level)</t>
  </si>
  <si>
    <t>Ethyl Chloride</t>
  </si>
  <si>
    <t>C2H5Cl</t>
  </si>
  <si>
    <t>Scale Height</t>
  </si>
  <si>
    <t>Helium</t>
  </si>
  <si>
    <t>He</t>
  </si>
  <si>
    <t>Atmosphere Height (0.0001% p)</t>
  </si>
  <si>
    <t>Chlor</t>
  </si>
  <si>
    <t>Cl2</t>
  </si>
  <si>
    <t>Atmosphere Weight</t>
  </si>
  <si>
    <t>Hydrogen Chloride</t>
  </si>
  <si>
    <t>HCl</t>
  </si>
  <si>
    <t>Atmosphere weight relative to Earth atm weight</t>
  </si>
  <si>
    <t>Oxygen</t>
  </si>
  <si>
    <t>O2</t>
  </si>
  <si>
    <t>Escape Velocity</t>
  </si>
  <si>
    <t>Krypton</t>
  </si>
  <si>
    <t>Kr</t>
  </si>
  <si>
    <t>Xenon</t>
  </si>
  <si>
    <t>Xe</t>
  </si>
  <si>
    <t>Methane</t>
  </si>
  <si>
    <t>CH4</t>
  </si>
  <si>
    <t>Methyl Chloride</t>
  </si>
  <si>
    <t>CH3Cl</t>
  </si>
  <si>
    <t>Neon</t>
  </si>
  <si>
    <t>Ne</t>
  </si>
  <si>
    <t>Ozone</t>
  </si>
  <si>
    <t>O3</t>
  </si>
  <si>
    <t>Pentane</t>
  </si>
  <si>
    <t>C5H12</t>
  </si>
  <si>
    <t>Propane</t>
  </si>
  <si>
    <t>C3H8</t>
  </si>
  <si>
    <t>Propene</t>
  </si>
  <si>
    <t>C3H6</t>
  </si>
  <si>
    <t>Sulphur Dioxide</t>
  </si>
  <si>
    <t>SO2</t>
  </si>
  <si>
    <t>orbit</t>
  </si>
  <si>
    <t>Sulphur Hydrogen</t>
  </si>
  <si>
    <t>H2S</t>
  </si>
  <si>
    <t>rotation</t>
  </si>
  <si>
    <t>Carbon Dioxide</t>
  </si>
  <si>
    <t>CO2</t>
  </si>
  <si>
    <t>Carbon Monoxide</t>
  </si>
  <si>
    <t>CO</t>
  </si>
  <si>
    <t>Hydrogen</t>
  </si>
  <si>
    <t>H2</t>
  </si>
  <si>
    <t>av light day</t>
  </si>
  <si>
    <t>Water</t>
  </si>
  <si>
    <t>H2O</t>
  </si>
  <si>
    <t>Measurements</t>
  </si>
  <si>
    <t>total</t>
  </si>
  <si>
    <t>maximum</t>
  </si>
  <si>
    <t>Habitability Assesment (at sealevel)</t>
  </si>
  <si>
    <t>Main Star Distance</t>
  </si>
  <si>
    <t>Parts gas parts</t>
  </si>
  <si>
    <t>Km</t>
  </si>
  <si>
    <t>Main Star Temperature</t>
  </si>
  <si>
    <t>Avarage spec heat (pressure)</t>
  </si>
  <si>
    <t>K</t>
  </si>
  <si>
    <t>atomar radius is</t>
  </si>
  <si>
    <t>escape velocity</t>
  </si>
  <si>
    <t>Main Star Diameter</t>
  </si>
  <si>
    <t>Heat conduction avg</t>
  </si>
  <si>
    <t>Day/night variation</t>
  </si>
  <si>
    <t>Avarage heat conduction dry</t>
  </si>
  <si>
    <t>Cross section is</t>
  </si>
  <si>
    <t>Exosphere temperature</t>
  </si>
  <si>
    <t>(kelvin)</t>
  </si>
  <si>
    <t>Celsius</t>
  </si>
  <si>
    <t>Molar mass is</t>
  </si>
  <si>
    <t>kg/mol</t>
  </si>
  <si>
    <t xml:space="preserve">MSL Pressure </t>
  </si>
  <si>
    <t>Thermal inertia (I)</t>
  </si>
  <si>
    <t>I^-1</t>
  </si>
  <si>
    <t>+/-</t>
  </si>
  <si>
    <t>(Pascal)</t>
  </si>
  <si>
    <t>Speed Sound</t>
  </si>
  <si>
    <t>AU pr km</t>
  </si>
  <si>
    <t>Atm</t>
  </si>
  <si>
    <t>molar gas constant</t>
  </si>
  <si>
    <t xml:space="preserve">MSL Temperature </t>
  </si>
  <si>
    <t>limited by 3degrees K</t>
  </si>
  <si>
    <t>Celcius</t>
  </si>
  <si>
    <t>exotemp</t>
  </si>
  <si>
    <t>Nx</t>
  </si>
  <si>
    <t>atoms/m^2</t>
  </si>
  <si>
    <t>Bond Albedo</t>
  </si>
  <si>
    <t>Universal Gas Constant</t>
  </si>
  <si>
    <t>Earth Mass</t>
  </si>
  <si>
    <t>Earth atmos mass</t>
  </si>
  <si>
    <t>Limited by effective temp</t>
  </si>
  <si>
    <t>Is rotation retrograde? (then -1)</t>
  </si>
  <si>
    <t>km</t>
  </si>
  <si>
    <t>/1</t>
  </si>
  <si>
    <t>Speed at exo temperature</t>
  </si>
  <si>
    <t>m/s</t>
  </si>
  <si>
    <t>Gravity Acc.</t>
  </si>
  <si>
    <t>radius planet</t>
  </si>
  <si>
    <t>stellar day lengt</t>
  </si>
  <si>
    <t>days</t>
  </si>
  <si>
    <t>m/s^2</t>
  </si>
  <si>
    <t>AU</t>
  </si>
  <si>
    <t>g</t>
  </si>
  <si>
    <t>Gravity ground level</t>
  </si>
  <si>
    <t>Orbital Period</t>
  </si>
  <si>
    <t>Boltzman constant</t>
  </si>
  <si>
    <t>sidereal factor</t>
  </si>
  <si>
    <t>day (earth solar days)</t>
  </si>
  <si>
    <t>boltzman</t>
  </si>
  <si>
    <t>Rotational Period</t>
  </si>
  <si>
    <t>Solar day lenght</t>
  </si>
  <si>
    <t>gravitional constant</t>
  </si>
  <si>
    <t>Axial tilt</t>
  </si>
  <si>
    <t>tilt in radians</t>
  </si>
  <si>
    <t>daylight factor</t>
  </si>
  <si>
    <t>degrees</t>
  </si>
  <si>
    <t>Planet mass</t>
  </si>
  <si>
    <t>Planet Diameter</t>
  </si>
  <si>
    <t>r plan + H atm</t>
  </si>
  <si>
    <t>Volume of planet</t>
  </si>
  <si>
    <t>season factor</t>
  </si>
  <si>
    <t>solar factor cycle</t>
  </si>
  <si>
    <t>Dry air gas constant</t>
  </si>
  <si>
    <t>Gravity at exobase</t>
  </si>
  <si>
    <t>[m/s]</t>
  </si>
  <si>
    <t>Gravitational constant G</t>
  </si>
  <si>
    <t>[K]</t>
  </si>
  <si>
    <t>test gravity</t>
  </si>
  <si>
    <t>planet radius</t>
  </si>
  <si>
    <t>Avarage Athmosphere Molar Mass</t>
  </si>
  <si>
    <t>Volume pl + atm</t>
  </si>
  <si>
    <t>Earth mass</t>
  </si>
  <si>
    <t>kg</t>
  </si>
  <si>
    <t>Effective temperature</t>
  </si>
  <si>
    <t>Exobase radius</t>
  </si>
  <si>
    <t>diff (= vol H atmos)</t>
  </si>
  <si>
    <t>m^3</t>
  </si>
  <si>
    <t>Factor</t>
  </si>
  <si>
    <t>SB const</t>
  </si>
  <si>
    <t>Exobase height</t>
  </si>
  <si>
    <t>escape vel</t>
  </si>
  <si>
    <t>[W/(m K)]</t>
  </si>
  <si>
    <t>exobase escape velocity</t>
  </si>
  <si>
    <t>Lenght of solar day</t>
  </si>
  <si>
    <t>[Earth solar days)</t>
  </si>
  <si>
    <t>max diff</t>
  </si>
  <si>
    <t>Ratio gas/escape velocity</t>
  </si>
  <si>
    <t>[W/m^2]</t>
  </si>
  <si>
    <t>is atmosphere escaping?</t>
  </si>
  <si>
    <t>Atmospehere is likely to be escaping</t>
  </si>
  <si>
    <t>Star temperature</t>
  </si>
  <si>
    <t>[Mass Earth)</t>
  </si>
  <si>
    <t>solution</t>
  </si>
  <si>
    <t>Atmospehere is likely to be thermokinetic unstable</t>
  </si>
  <si>
    <t>atmosphere weight</t>
  </si>
  <si>
    <t>eart mass</t>
  </si>
  <si>
    <t>Star radius</t>
  </si>
  <si>
    <t>m</t>
  </si>
  <si>
    <t>[kg/m^3]</t>
  </si>
  <si>
    <t>Atmosphere is likely to be thermokinetic stable</t>
  </si>
  <si>
    <t>Earth atmosphere masses</t>
  </si>
  <si>
    <t>Star distance</t>
  </si>
  <si>
    <t>[km]</t>
  </si>
  <si>
    <t>Planet albedo</t>
  </si>
  <si>
    <t>Equilibrium temp</t>
  </si>
  <si>
    <t>[M (earth)]</t>
  </si>
  <si>
    <t>C</t>
  </si>
  <si>
    <t>[M(eam)]</t>
  </si>
  <si>
    <t>Habitability at sealevel</t>
  </si>
  <si>
    <t>Perfect match</t>
  </si>
  <si>
    <t>Atmospheric proporties</t>
  </si>
  <si>
    <t>Not toxic</t>
  </si>
  <si>
    <t>Ppres</t>
  </si>
  <si>
    <t>Halucinative gases</t>
  </si>
  <si>
    <t>if &lt; then no effect</t>
  </si>
  <si>
    <t>if &lt; then notable effect</t>
  </si>
  <si>
    <t>if &gt; confusion</t>
  </si>
  <si>
    <t>if&lt; dangerous if &gt; death</t>
  </si>
  <si>
    <t>unhealthy</t>
  </si>
  <si>
    <t>very unhealthy</t>
  </si>
  <si>
    <t>dangerous</t>
  </si>
  <si>
    <t>deadly</t>
  </si>
  <si>
    <t>Well drowning risk at surface</t>
  </si>
  <si>
    <t>No effect</t>
  </si>
  <si>
    <t>have a notable effect</t>
  </si>
  <si>
    <t>verdict</t>
  </si>
  <si>
    <t>Oxygen enough?</t>
  </si>
  <si>
    <t>cause confusion</t>
  </si>
  <si>
    <t>are dangourous</t>
  </si>
  <si>
    <t>are deadly</t>
  </si>
  <si>
    <t>Temperature ok?</t>
  </si>
  <si>
    <t>habitable</t>
  </si>
  <si>
    <t>H</t>
  </si>
  <si>
    <t>S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</si>
</sst>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4" formatCode="0.0000"/>
    <numFmt numFmtId="165" formatCode="0.000"/>
    <numFmt numFmtId="166" formatCode="0.0000000000000000"/>
    <numFmt numFmtId="167" formatCode="0.0000000"/>
    <numFmt numFmtId="168" formatCode="_ * #,##0_ ;_ * \-#,##0_ ;_ * &quot;-&quot;??_ ;_ @_ "/>
    <numFmt numFmtId="169" formatCode="0.00000%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44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2" fillId="0" borderId="1" xfId="0" applyFont="1" applyBorder="1" applyAlignment="1" applyProtection="1">
      <alignment horizontal="left"/>
    </xf>
    <xf numFmtId="0" fontId="0" fillId="0" borderId="2" xfId="0" applyBorder="1" applyProtection="1"/>
    <xf numFmtId="0" fontId="0" fillId="0" borderId="3" xfId="0" applyBorder="1" applyProtection="1"/>
    <xf numFmtId="0" fontId="2" fillId="0" borderId="1" xfId="0" applyFont="1" applyBorder="1"/>
    <xf numFmtId="0" fontId="0" fillId="0" borderId="5" xfId="0" applyBorder="1"/>
    <xf numFmtId="0" fontId="2" fillId="0" borderId="4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Protection="1"/>
    <xf numFmtId="164" fontId="2" fillId="0" borderId="0" xfId="0" applyNumberFormat="1" applyFont="1" applyBorder="1" applyProtection="1"/>
    <xf numFmtId="0" fontId="2" fillId="0" borderId="5" xfId="0" applyFont="1" applyBorder="1" applyProtection="1"/>
    <xf numFmtId="2" fontId="0" fillId="0" borderId="0" xfId="0" applyNumberFormat="1" applyBorder="1"/>
    <xf numFmtId="0" fontId="0" fillId="0" borderId="4" xfId="0" applyFont="1" applyBorder="1" applyAlignment="1" applyProtection="1"/>
    <xf numFmtId="164" fontId="0" fillId="0" borderId="0" xfId="0" applyNumberFormat="1" applyFont="1" applyBorder="1" applyAlignment="1" applyProtection="1"/>
    <xf numFmtId="0" fontId="0" fillId="0" borderId="5" xfId="0" applyFont="1" applyBorder="1" applyAlignment="1" applyProtection="1"/>
    <xf numFmtId="0" fontId="0" fillId="0" borderId="0" xfId="0" applyFont="1" applyBorder="1" applyAlignment="1" applyProtection="1"/>
    <xf numFmtId="0" fontId="0" fillId="0" borderId="4" xfId="0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wrapText="1"/>
      <protection locked="0"/>
    </xf>
    <xf numFmtId="165" fontId="0" fillId="0" borderId="0" xfId="0" applyNumberFormat="1" applyBorder="1" applyAlignment="1" applyProtection="1">
      <alignment wrapText="1"/>
      <protection locked="0"/>
    </xf>
    <xf numFmtId="166" fontId="0" fillId="0" borderId="0" xfId="0" applyNumberFormat="1" applyBorder="1" applyAlignment="1" applyProtection="1">
      <alignment wrapText="1"/>
      <protection locked="0"/>
    </xf>
    <xf numFmtId="0" fontId="0" fillId="0" borderId="0" xfId="0" applyNumberFormat="1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10" fontId="0" fillId="0" borderId="0" xfId="0" applyNumberFormat="1" applyBorder="1" applyProtection="1"/>
    <xf numFmtId="2" fontId="0" fillId="0" borderId="0" xfId="0" applyNumberFormat="1" applyBorder="1" applyProtection="1"/>
    <xf numFmtId="0" fontId="0" fillId="0" borderId="0" xfId="0" applyBorder="1" applyProtection="1"/>
    <xf numFmtId="0" fontId="0" fillId="0" borderId="5" xfId="0" applyBorder="1" applyProtection="1"/>
    <xf numFmtId="0" fontId="0" fillId="0" borderId="0" xfId="0" applyBorder="1" applyAlignment="1">
      <alignment wrapText="1"/>
    </xf>
    <xf numFmtId="0" fontId="0" fillId="0" borderId="4" xfId="0" applyFont="1" applyBorder="1" applyAlignment="1" applyProtection="1">
      <alignment horizontal="left"/>
    </xf>
    <xf numFmtId="0" fontId="0" fillId="0" borderId="5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left"/>
    </xf>
    <xf numFmtId="0" fontId="0" fillId="0" borderId="4" xfId="0" applyFont="1" applyBorder="1" applyAlignment="1" applyProtection="1">
      <alignment horizontal="left" vertical="center" wrapText="1"/>
    </xf>
    <xf numFmtId="0" fontId="0" fillId="0" borderId="4" xfId="0" applyBorder="1" applyAlignment="1" applyProtection="1"/>
    <xf numFmtId="0" fontId="0" fillId="0" borderId="4" xfId="0" applyBorder="1" applyAlignment="1" applyProtection="1">
      <alignment horizontal="left"/>
    </xf>
    <xf numFmtId="0" fontId="0" fillId="0" borderId="0" xfId="0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wrapText="1"/>
    </xf>
    <xf numFmtId="0" fontId="0" fillId="0" borderId="5" xfId="0" applyFont="1" applyFill="1" applyBorder="1" applyAlignment="1" applyProtection="1">
      <alignment wrapText="1"/>
    </xf>
    <xf numFmtId="0" fontId="0" fillId="0" borderId="0" xfId="0" applyFont="1" applyFill="1" applyBorder="1" applyAlignment="1" applyProtection="1">
      <alignment wrapText="1"/>
    </xf>
    <xf numFmtId="0" fontId="0" fillId="0" borderId="5" xfId="0" applyFont="1" applyBorder="1" applyProtection="1"/>
    <xf numFmtId="0" fontId="0" fillId="0" borderId="0" xfId="0" applyFont="1" applyBorder="1" applyProtection="1"/>
    <xf numFmtId="11" fontId="0" fillId="0" borderId="0" xfId="0" applyNumberFormat="1" applyFont="1" applyBorder="1" applyAlignment="1" applyProtection="1"/>
    <xf numFmtId="0" fontId="0" fillId="2" borderId="0" xfId="0" applyFill="1"/>
    <xf numFmtId="2" fontId="0" fillId="0" borderId="0" xfId="0" applyNumberFormat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wrapText="1"/>
      <protection locked="0"/>
    </xf>
    <xf numFmtId="165" fontId="0" fillId="0" borderId="7" xfId="0" applyNumberFormat="1" applyBorder="1" applyAlignment="1" applyProtection="1">
      <alignment wrapText="1"/>
      <protection locked="0"/>
    </xf>
    <xf numFmtId="166" fontId="0" fillId="0" borderId="7" xfId="0" applyNumberFormat="1" applyBorder="1" applyAlignment="1" applyProtection="1">
      <alignment wrapText="1"/>
      <protection locked="0"/>
    </xf>
    <xf numFmtId="0" fontId="0" fillId="0" borderId="7" xfId="0" applyNumberFormat="1" applyBorder="1" applyAlignment="1" applyProtection="1">
      <alignment wrapText="1"/>
      <protection locked="0"/>
    </xf>
    <xf numFmtId="0" fontId="0" fillId="0" borderId="7" xfId="0" applyBorder="1" applyProtection="1">
      <protection locked="0"/>
    </xf>
    <xf numFmtId="10" fontId="0" fillId="0" borderId="7" xfId="0" applyNumberFormat="1" applyBorder="1" applyProtection="1"/>
    <xf numFmtId="2" fontId="0" fillId="0" borderId="7" xfId="0" applyNumberFormat="1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right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3" borderId="9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5" xfId="0" applyBorder="1" applyProtection="1">
      <protection locked="0"/>
    </xf>
    <xf numFmtId="0" fontId="4" fillId="0" borderId="4" xfId="0" applyFont="1" applyBorder="1" applyAlignment="1">
      <alignment horizontal="right"/>
    </xf>
    <xf numFmtId="0" fontId="4" fillId="0" borderId="10" xfId="0" applyFont="1" applyBorder="1"/>
    <xf numFmtId="0" fontId="2" fillId="0" borderId="0" xfId="0" applyFont="1" applyBorder="1" applyAlignment="1" applyProtection="1">
      <alignment horizontal="center" wrapText="1"/>
      <protection locked="0"/>
    </xf>
    <xf numFmtId="0" fontId="0" fillId="0" borderId="0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quotePrefix="1" applyBorder="1" applyAlignment="1" applyProtection="1">
      <alignment horizontal="right"/>
      <protection locked="0"/>
    </xf>
    <xf numFmtId="0" fontId="0" fillId="3" borderId="0" xfId="0" applyFill="1" applyBorder="1" applyProtection="1">
      <protection locked="0"/>
    </xf>
    <xf numFmtId="0" fontId="0" fillId="0" borderId="0" xfId="0" applyFill="1" applyBorder="1"/>
    <xf numFmtId="11" fontId="0" fillId="0" borderId="0" xfId="0" applyNumberFormat="1" applyBorder="1" applyProtection="1">
      <protection locked="0"/>
    </xf>
    <xf numFmtId="0" fontId="0" fillId="0" borderId="4" xfId="0" applyFill="1" applyBorder="1" applyAlignment="1" applyProtection="1">
      <alignment wrapText="1"/>
    </xf>
    <xf numFmtId="0" fontId="0" fillId="0" borderId="0" xfId="0" applyFill="1" applyBorder="1" applyAlignment="1" applyProtection="1">
      <alignment horizontal="right"/>
      <protection locked="0"/>
    </xf>
    <xf numFmtId="167" fontId="5" fillId="0" borderId="0" xfId="0" applyNumberFormat="1" applyFont="1" applyBorder="1" applyProtection="1">
      <protection locked="0"/>
    </xf>
    <xf numFmtId="0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3" borderId="11" xfId="0" applyFill="1" applyBorder="1" applyProtection="1">
      <protection locked="0"/>
    </xf>
    <xf numFmtId="11" fontId="0" fillId="0" borderId="0" xfId="0" applyNumberFormat="1" applyBorder="1"/>
    <xf numFmtId="11" fontId="5" fillId="0" borderId="0" xfId="0" applyNumberFormat="1" applyFont="1" applyBorder="1" applyProtection="1">
      <protection locked="0"/>
    </xf>
    <xf numFmtId="0" fontId="0" fillId="0" borderId="0" xfId="0" applyNumberFormat="1" applyFill="1" applyBorder="1" applyAlignment="1" applyProtection="1">
      <alignment horizontal="right"/>
      <protection locked="0"/>
    </xf>
    <xf numFmtId="0" fontId="0" fillId="3" borderId="11" xfId="0" applyNumberFormat="1" applyFill="1" applyBorder="1" applyProtection="1">
      <protection locked="0"/>
    </xf>
    <xf numFmtId="0" fontId="0" fillId="0" borderId="6" xfId="0" applyFont="1" applyFill="1" applyBorder="1" applyAlignment="1" applyProtection="1">
      <alignment wrapText="1"/>
    </xf>
    <xf numFmtId="0" fontId="0" fillId="0" borderId="7" xfId="0" applyFont="1" applyBorder="1" applyProtection="1"/>
    <xf numFmtId="165" fontId="0" fillId="0" borderId="7" xfId="0" applyNumberFormat="1" applyBorder="1" applyProtection="1"/>
    <xf numFmtId="167" fontId="5" fillId="0" borderId="7" xfId="0" applyNumberFormat="1" applyFont="1" applyBorder="1" applyProtection="1">
      <protection locked="0"/>
    </xf>
    <xf numFmtId="0" fontId="0" fillId="0" borderId="7" xfId="0" applyNumberFormat="1" applyBorder="1" applyProtection="1">
      <protection locked="0"/>
    </xf>
    <xf numFmtId="0" fontId="0" fillId="0" borderId="7" xfId="0" applyNumberFormat="1" applyFill="1" applyBorder="1" applyAlignment="1" applyProtection="1">
      <alignment horizontal="right"/>
      <protection locked="0"/>
    </xf>
    <xf numFmtId="0" fontId="0" fillId="3" borderId="12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8" xfId="0" applyFill="1" applyBorder="1" applyProtection="1"/>
    <xf numFmtId="0" fontId="0" fillId="2" borderId="4" xfId="0" applyFill="1" applyBorder="1"/>
    <xf numFmtId="0" fontId="0" fillId="0" borderId="1" xfId="0" applyFont="1" applyBorder="1" applyAlignment="1" applyProtection="1">
      <alignment horizontal="left"/>
    </xf>
    <xf numFmtId="0" fontId="0" fillId="0" borderId="2" xfId="0" applyFont="1" applyBorder="1" applyAlignment="1" applyProtection="1">
      <alignment horizontal="left"/>
    </xf>
    <xf numFmtId="167" fontId="5" fillId="0" borderId="2" xfId="0" applyNumberFormat="1" applyFont="1" applyBorder="1" applyProtection="1">
      <protection locked="0"/>
    </xf>
    <xf numFmtId="0" fontId="0" fillId="0" borderId="2" xfId="0" applyBorder="1" applyProtection="1">
      <protection locked="0"/>
    </xf>
    <xf numFmtId="164" fontId="0" fillId="0" borderId="2" xfId="0" applyNumberFormat="1" applyFill="1" applyBorder="1" applyProtection="1"/>
    <xf numFmtId="0" fontId="0" fillId="0" borderId="2" xfId="0" applyFill="1" applyBorder="1" applyProtection="1"/>
    <xf numFmtId="0" fontId="2" fillId="0" borderId="2" xfId="0" applyFont="1" applyBorder="1" applyProtection="1"/>
    <xf numFmtId="164" fontId="0" fillId="0" borderId="0" xfId="0" applyNumberFormat="1" applyFill="1" applyBorder="1" applyProtection="1"/>
    <xf numFmtId="0" fontId="0" fillId="0" borderId="0" xfId="0" applyFill="1" applyBorder="1" applyProtection="1"/>
    <xf numFmtId="0" fontId="6" fillId="0" borderId="0" xfId="3" applyBorder="1" applyAlignment="1" applyProtection="1">
      <alignment wrapText="1"/>
    </xf>
    <xf numFmtId="0" fontId="0" fillId="0" borderId="0" xfId="0" applyBorder="1" applyAlignment="1" applyProtection="1">
      <alignment horizontal="left" wrapText="1" indent="2"/>
    </xf>
    <xf numFmtId="0" fontId="0" fillId="0" borderId="4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left"/>
    </xf>
    <xf numFmtId="164" fontId="0" fillId="0" borderId="0" xfId="0" applyNumberFormat="1" applyBorder="1" applyProtection="1"/>
    <xf numFmtId="164" fontId="0" fillId="0" borderId="0" xfId="0" applyNumberFormat="1" applyBorder="1" applyAlignment="1" applyProtection="1">
      <alignment horizontal="right"/>
    </xf>
    <xf numFmtId="0" fontId="0" fillId="2" borderId="0" xfId="0" applyFill="1" applyBorder="1"/>
    <xf numFmtId="168" fontId="0" fillId="0" borderId="0" xfId="1" applyNumberFormat="1" applyFont="1" applyBorder="1" applyProtection="1">
      <protection locked="0"/>
    </xf>
    <xf numFmtId="0" fontId="0" fillId="0" borderId="4" xfId="0" applyFont="1" applyFill="1" applyBorder="1" applyAlignment="1" applyProtection="1">
      <alignment horizontal="left" wrapText="1"/>
    </xf>
    <xf numFmtId="0" fontId="0" fillId="0" borderId="0" xfId="0" applyFont="1" applyFill="1" applyBorder="1" applyAlignment="1" applyProtection="1">
      <alignment horizontal="left" wrapText="1"/>
    </xf>
    <xf numFmtId="11" fontId="0" fillId="0" borderId="0" xfId="0" applyNumberFormat="1" applyBorder="1" applyProtection="1"/>
    <xf numFmtId="0" fontId="0" fillId="0" borderId="0" xfId="0" applyBorder="1" applyAlignment="1" applyProtection="1">
      <alignment horizontal="left" wrapText="1" indent="1"/>
    </xf>
    <xf numFmtId="164" fontId="0" fillId="0" borderId="0" xfId="0" applyNumberFormat="1" applyFont="1" applyBorder="1" applyProtection="1"/>
    <xf numFmtId="165" fontId="0" fillId="0" borderId="0" xfId="0" applyNumberFormat="1" applyFont="1" applyBorder="1" applyProtection="1"/>
    <xf numFmtId="169" fontId="0" fillId="0" borderId="0" xfId="2" applyNumberFormat="1" applyFont="1" applyBorder="1" applyProtection="1">
      <protection locked="0"/>
    </xf>
    <xf numFmtId="0" fontId="0" fillId="0" borderId="5" xfId="0" applyFill="1" applyBorder="1" applyProtection="1"/>
    <xf numFmtId="0" fontId="0" fillId="0" borderId="1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0" fillId="0" borderId="7" xfId="0" applyBorder="1" applyAlignment="1" applyProtection="1">
      <alignment horizontal="left"/>
    </xf>
    <xf numFmtId="164" fontId="0" fillId="0" borderId="7" xfId="0" applyNumberFormat="1" applyBorder="1"/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2" fillId="0" borderId="2" xfId="0" applyFont="1" applyBorder="1"/>
    <xf numFmtId="0" fontId="6" fillId="0" borderId="0" xfId="3" applyBorder="1" applyAlignment="1">
      <alignment wrapText="1"/>
    </xf>
    <xf numFmtId="0" fontId="0" fillId="0" borderId="0" xfId="0" applyBorder="1" applyAlignment="1">
      <alignment horizontal="right" wrapText="1"/>
    </xf>
  </cellXfs>
  <cellStyles count="4">
    <cellStyle name="1000-sep (2 dec)" xfId="1" builtinId="3"/>
    <cellStyle name="Hyperlink" xfId="3" builtinId="8"/>
    <cellStyle name="Normal" xfId="0" builtinId="0"/>
    <cellStyle name="Pro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.wikipedia.org/wiki/Neon" TargetMode="External"/><Relationship Id="rId3" Type="http://schemas.openxmlformats.org/officeDocument/2006/relationships/hyperlink" Target="https://en.wikipedia.org/wiki/Krypton" TargetMode="External"/><Relationship Id="rId7" Type="http://schemas.openxmlformats.org/officeDocument/2006/relationships/hyperlink" Target="https://en.wikipedia.org/wiki/Hydrogen" TargetMode="External"/><Relationship Id="rId2" Type="http://schemas.openxmlformats.org/officeDocument/2006/relationships/hyperlink" Target="https://en.wikipedia.org/wiki/Carbon_dioxide" TargetMode="External"/><Relationship Id="rId1" Type="http://schemas.openxmlformats.org/officeDocument/2006/relationships/hyperlink" Target="https://en.wikipedia.org/wiki/Xenon" TargetMode="External"/><Relationship Id="rId6" Type="http://schemas.openxmlformats.org/officeDocument/2006/relationships/hyperlink" Target="https://en.wikipedia.org/wiki/Nitrogen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en.wikipedia.org/wiki/Oxygen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en.wikipedia.org/wiki/Argon" TargetMode="External"/><Relationship Id="rId9" Type="http://schemas.openxmlformats.org/officeDocument/2006/relationships/hyperlink" Target="https://en.wikipedia.org/wiki/Heliu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K106"/>
  <sheetViews>
    <sheetView tabSelected="1" zoomScale="70" zoomScaleNormal="70" workbookViewId="0">
      <selection activeCell="AS19" sqref="AS19"/>
    </sheetView>
  </sheetViews>
  <sheetFormatPr defaultRowHeight="15"/>
  <cols>
    <col min="1" max="1" width="2.85546875" customWidth="1"/>
    <col min="2" max="2" width="19.7109375" style="140" customWidth="1"/>
    <col min="3" max="3" width="11.42578125" customWidth="1"/>
    <col min="4" max="4" width="19.42578125" customWidth="1"/>
    <col min="5" max="5" width="12.7109375" hidden="1" customWidth="1"/>
    <col min="6" max="6" width="11.85546875" hidden="1" customWidth="1"/>
    <col min="7" max="7" width="21.42578125" hidden="1" customWidth="1"/>
    <col min="8" max="8" width="12.42578125" hidden="1" customWidth="1"/>
    <col min="9" max="9" width="14.140625" hidden="1" customWidth="1"/>
    <col min="10" max="10" width="15.140625" hidden="1" customWidth="1"/>
    <col min="11" max="11" width="24.7109375" hidden="1" customWidth="1"/>
    <col min="12" max="12" width="25.7109375" hidden="1" customWidth="1"/>
    <col min="13" max="16" width="24.7109375" hidden="1" customWidth="1"/>
    <col min="17" max="17" width="12.85546875" hidden="1" customWidth="1"/>
    <col min="18" max="18" width="13.28515625" customWidth="1"/>
    <col min="19" max="19" width="15.85546875" hidden="1" customWidth="1"/>
    <col min="20" max="20" width="14.85546875" hidden="1" customWidth="1"/>
    <col min="21" max="21" width="17.7109375" hidden="1" customWidth="1"/>
    <col min="22" max="22" width="12.140625" hidden="1" customWidth="1"/>
    <col min="23" max="23" width="16.42578125" hidden="1" customWidth="1"/>
    <col min="24" max="24" width="25.140625" hidden="1" customWidth="1"/>
    <col min="25" max="25" width="16.7109375" hidden="1" customWidth="1"/>
    <col min="26" max="26" width="33.85546875" hidden="1" customWidth="1"/>
    <col min="27" max="27" width="22.85546875" customWidth="1"/>
    <col min="28" max="28" width="1.5703125" customWidth="1"/>
    <col min="29" max="29" width="18.85546875" hidden="1" customWidth="1"/>
    <col min="30" max="30" width="10.140625" hidden="1" customWidth="1"/>
    <col min="31" max="34" width="21.7109375" hidden="1" customWidth="1"/>
    <col min="35" max="36" width="28.28515625" hidden="1" customWidth="1"/>
    <col min="37" max="37" width="31.28515625" hidden="1" customWidth="1"/>
    <col min="38" max="38" width="28.28515625" hidden="1" customWidth="1"/>
    <col min="39" max="39" width="33.28515625" hidden="1" customWidth="1"/>
    <col min="40" max="41" width="8.85546875" hidden="1" customWidth="1"/>
    <col min="42" max="42" width="23.5703125" hidden="1" customWidth="1"/>
    <col min="43" max="43" width="9.28515625" hidden="1" customWidth="1"/>
    <col min="44" max="44" width="17.7109375" hidden="1" customWidth="1"/>
    <col min="45" max="45" width="48.28515625" customWidth="1"/>
    <col min="46" max="46" width="14.85546875" customWidth="1"/>
    <col min="47" max="47" width="17.42578125" bestFit="1" customWidth="1"/>
    <col min="48" max="48" width="3.85546875" customWidth="1"/>
    <col min="49" max="54" width="8.85546875" customWidth="1"/>
    <col min="55" max="55" width="15" bestFit="1" customWidth="1"/>
    <col min="56" max="56" width="8.85546875" customWidth="1"/>
    <col min="59" max="59" width="0" hidden="1" customWidth="1"/>
    <col min="60" max="61" width="0" style="51" hidden="1" customWidth="1"/>
    <col min="62" max="62" width="12" style="51" hidden="1" customWidth="1"/>
    <col min="63" max="63" width="0" style="51" hidden="1" customWidth="1"/>
    <col min="64" max="64" width="0" hidden="1" customWidth="1"/>
  </cols>
  <sheetData>
    <row r="1" spans="1:49" ht="15.75" thickBot="1">
      <c r="A1" s="1"/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3"/>
      <c r="S1" s="4"/>
      <c r="T1" s="4"/>
      <c r="U1" s="4"/>
      <c r="V1" s="4"/>
      <c r="W1" s="4"/>
      <c r="X1" s="4"/>
      <c r="Y1" s="4"/>
      <c r="Z1" s="4"/>
      <c r="AA1" s="3"/>
      <c r="AB1" s="3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3"/>
      <c r="AT1" s="3"/>
      <c r="AU1" s="3"/>
      <c r="AV1" s="5"/>
      <c r="AW1" s="6"/>
    </row>
    <row r="2" spans="1:49">
      <c r="A2" s="7"/>
      <c r="B2" s="8" t="s">
        <v>0</v>
      </c>
      <c r="C2" s="9"/>
      <c r="D2" s="9"/>
      <c r="E2" s="9" t="s">
        <v>1</v>
      </c>
      <c r="F2" s="9" t="s">
        <v>2</v>
      </c>
      <c r="G2" s="9" t="s">
        <v>3</v>
      </c>
      <c r="H2" s="9" t="s">
        <v>4</v>
      </c>
      <c r="I2" s="9" t="s">
        <v>5</v>
      </c>
      <c r="J2" s="9" t="s">
        <v>6</v>
      </c>
      <c r="K2" s="9" t="s">
        <v>7</v>
      </c>
      <c r="L2" s="9" t="s">
        <v>8</v>
      </c>
      <c r="M2" s="9" t="s">
        <v>9</v>
      </c>
      <c r="N2" s="9"/>
      <c r="O2" s="9" t="s">
        <v>10</v>
      </c>
      <c r="P2" s="9" t="s">
        <v>11</v>
      </c>
      <c r="Q2" s="9" t="s">
        <v>12</v>
      </c>
      <c r="R2" s="9"/>
      <c r="S2" s="9" t="s">
        <v>13</v>
      </c>
      <c r="T2" s="9" t="s">
        <v>14</v>
      </c>
      <c r="U2" s="9" t="s">
        <v>15</v>
      </c>
      <c r="V2" s="9" t="s">
        <v>16</v>
      </c>
      <c r="W2" s="9" t="s">
        <v>17</v>
      </c>
      <c r="X2" s="9" t="s">
        <v>18</v>
      </c>
      <c r="Y2" s="9" t="s">
        <v>19</v>
      </c>
      <c r="Z2" s="9" t="s">
        <v>20</v>
      </c>
      <c r="AA2" s="10"/>
      <c r="AB2" s="6"/>
      <c r="AC2" s="6"/>
      <c r="AD2" s="6"/>
      <c r="AE2" s="6">
        <v>0</v>
      </c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11" t="s">
        <v>21</v>
      </c>
      <c r="AT2" s="3"/>
      <c r="AU2" s="5"/>
      <c r="AV2" s="12"/>
      <c r="AW2" s="6"/>
    </row>
    <row r="3" spans="1:49" ht="17.25">
      <c r="A3" s="7"/>
      <c r="B3" s="13" t="s">
        <v>22</v>
      </c>
      <c r="C3" s="14" t="s">
        <v>23</v>
      </c>
      <c r="D3" s="14"/>
      <c r="E3" s="14" t="s">
        <v>24</v>
      </c>
      <c r="F3" s="15" t="s">
        <v>25</v>
      </c>
      <c r="G3" s="15" t="s">
        <v>26</v>
      </c>
      <c r="H3" s="15" t="s">
        <v>26</v>
      </c>
      <c r="I3" s="15" t="s">
        <v>26</v>
      </c>
      <c r="J3" s="15" t="s">
        <v>27</v>
      </c>
      <c r="K3" s="15" t="s">
        <v>28</v>
      </c>
      <c r="L3" s="15"/>
      <c r="M3" s="15"/>
      <c r="N3" s="15" t="s">
        <v>29</v>
      </c>
      <c r="O3" s="15"/>
      <c r="P3" s="15"/>
      <c r="Q3" s="16"/>
      <c r="R3" s="15" t="s">
        <v>30</v>
      </c>
      <c r="S3" s="15" t="s">
        <v>31</v>
      </c>
      <c r="T3" s="17"/>
      <c r="U3" s="17"/>
      <c r="V3" s="17"/>
      <c r="W3" s="17"/>
      <c r="X3" s="17" t="s">
        <v>32</v>
      </c>
      <c r="Y3" s="18">
        <f>T40+R54</f>
        <v>724.18151794920584</v>
      </c>
      <c r="Z3" s="18">
        <f>T40-R54</f>
        <v>720.11848205079411</v>
      </c>
      <c r="AA3" s="19" t="str">
        <f>X3</f>
        <v>Gas/Vapor</v>
      </c>
      <c r="AB3" s="6"/>
      <c r="AC3" s="6" t="s">
        <v>33</v>
      </c>
      <c r="AD3" s="20"/>
      <c r="AE3" s="6" t="s">
        <v>34</v>
      </c>
      <c r="AF3" s="6" t="s">
        <v>35</v>
      </c>
      <c r="AG3" s="6" t="s">
        <v>36</v>
      </c>
      <c r="AH3" s="6" t="s">
        <v>37</v>
      </c>
      <c r="AI3" s="6" t="s">
        <v>38</v>
      </c>
      <c r="AJ3" s="6" t="s">
        <v>39</v>
      </c>
      <c r="AK3" s="6" t="s">
        <v>40</v>
      </c>
      <c r="AL3" s="6" t="s">
        <v>41</v>
      </c>
      <c r="AM3" s="6" t="s">
        <v>42</v>
      </c>
      <c r="AN3" s="6"/>
      <c r="AO3" s="6"/>
      <c r="AP3" s="6"/>
      <c r="AQ3" s="6"/>
      <c r="AR3" s="6"/>
      <c r="AS3" s="21" t="s">
        <v>43</v>
      </c>
      <c r="AT3" s="22">
        <f>R47</f>
        <v>441.35707394040293</v>
      </c>
      <c r="AU3" s="23" t="str">
        <f>AA47</f>
        <v>[m/s]</v>
      </c>
      <c r="AV3" s="23"/>
      <c r="AW3" s="24"/>
    </row>
    <row r="4" spans="1:49">
      <c r="A4" s="7"/>
      <c r="B4" s="25" t="s">
        <v>44</v>
      </c>
      <c r="C4" s="26" t="s">
        <v>45</v>
      </c>
      <c r="D4" s="27"/>
      <c r="E4" s="28">
        <v>1.171</v>
      </c>
      <c r="F4" s="29">
        <v>26.04</v>
      </c>
      <c r="G4" s="28">
        <v>319.60000000000002</v>
      </c>
      <c r="H4" s="28">
        <v>1683</v>
      </c>
      <c r="I4" s="28">
        <v>1352</v>
      </c>
      <c r="J4" s="28">
        <f t="shared" ref="J4:J9" si="0">H4/I4</f>
        <v>1.2448224852071006</v>
      </c>
      <c r="K4" s="28">
        <v>9.35</v>
      </c>
      <c r="L4" s="30">
        <f>(F4^-1)*1000</f>
        <v>38.402457757296467</v>
      </c>
      <c r="M4" s="31">
        <v>1.7999999999999999E-2</v>
      </c>
      <c r="N4" s="31">
        <f t="shared" ref="N4:N33" si="1">(IF(X4=" (Gas)",M4,0))*Q4</f>
        <v>155.59199999999998</v>
      </c>
      <c r="O4" s="28">
        <v>189</v>
      </c>
      <c r="P4" s="28">
        <v>16.03</v>
      </c>
      <c r="Q4" s="32">
        <v>8644</v>
      </c>
      <c r="R4" s="33">
        <f>Q4/$Q$34</f>
        <v>0.27664341035652562</v>
      </c>
      <c r="S4" s="34">
        <f>(R4*$R$39)*101.3</f>
        <v>2578.2059271586759</v>
      </c>
      <c r="T4" s="35">
        <f t="shared" ref="T4:T33" si="2">R4*F4</f>
        <v>7.2037944056839267</v>
      </c>
      <c r="U4" s="35">
        <f t="shared" ref="U4:U33" si="3">T4*G4</f>
        <v>2302.3326920565833</v>
      </c>
      <c r="V4" s="35">
        <f t="shared" ref="V4:V33" si="4">IFERROR(J4*R4,1.4*R4)</f>
        <v>0.34437193759617796</v>
      </c>
      <c r="W4" s="35">
        <f t="shared" ref="W4:W33" si="5">((1/O4)-((8.314*LN($R$39/1))/(P4*1000)))^-1</f>
        <v>339.4700210342715</v>
      </c>
      <c r="X4" s="35" t="str">
        <f>IF(R4&gt;0,IF(W4&lt;$T$40," (Gas)"," (Vapor)"),"")</f>
        <v xml:space="preserve"> (Gas)</v>
      </c>
      <c r="Y4" s="35" t="str">
        <f>IF(R4&gt;0,IF(W4&lt;$Y$3," (Gas)"," (Vapor)"),"")</f>
        <v xml:space="preserve"> (Gas)</v>
      </c>
      <c r="Z4" s="35" t="str">
        <f>IF(R4&gt;0,IF(W4&lt;$Z$3," (Gas)"," (Vapor)"),"")</f>
        <v xml:space="preserve"> (Gas)</v>
      </c>
      <c r="AA4" s="36" t="str">
        <f t="shared" ref="AA4:AA32" si="6">IF(X4=" (Vapor)"," (Vapor)",IFERROR(IF(OR(Z4=" (Vapor)",Y4=" (Vapor)")=TRUE," (Condensating Gas)",X4),X4))</f>
        <v xml:space="preserve"> (Gas)</v>
      </c>
      <c r="AB4" s="6"/>
      <c r="AC4" s="6" t="str">
        <f>B4</f>
        <v>Acethylene</v>
      </c>
      <c r="AD4" s="20">
        <f>S4</f>
        <v>2578.2059271586759</v>
      </c>
      <c r="AE4" s="6">
        <v>1</v>
      </c>
      <c r="AF4" s="6">
        <f>IF(AD4&gt;0,AE4,0)</f>
        <v>1</v>
      </c>
      <c r="AG4" s="37">
        <f>E4</f>
        <v>1.171</v>
      </c>
      <c r="AH4" s="37">
        <f>IF(AG4&gt;$AG$18,1,0)</f>
        <v>0</v>
      </c>
      <c r="AI4" s="37">
        <f>IF(S4&gt;$S$18,1,0)</f>
        <v>1</v>
      </c>
      <c r="AJ4" s="37">
        <f>AH4*AI4</f>
        <v>0</v>
      </c>
      <c r="AK4" s="6">
        <v>10000</v>
      </c>
      <c r="AL4" s="6">
        <f>AK4*F4</f>
        <v>260400</v>
      </c>
      <c r="AM4" s="6" t="s">
        <v>46</v>
      </c>
      <c r="AN4" s="6"/>
      <c r="AO4" s="6"/>
      <c r="AP4" s="6"/>
      <c r="AQ4" s="6"/>
      <c r="AR4" s="6"/>
      <c r="AS4" s="38" t="s">
        <v>47</v>
      </c>
      <c r="AT4" s="22">
        <f t="shared" ref="AT4:AT18" si="7">R48</f>
        <v>185.03333769613388</v>
      </c>
      <c r="AU4" s="23" t="str">
        <f t="shared" ref="AU4:AU16" si="8">AA48</f>
        <v>[K]</v>
      </c>
      <c r="AV4" s="39"/>
      <c r="AW4" s="40"/>
    </row>
    <row r="5" spans="1:49">
      <c r="A5" s="7"/>
      <c r="B5" s="41" t="s">
        <v>48</v>
      </c>
      <c r="C5" s="26" t="s">
        <v>49</v>
      </c>
      <c r="D5" s="27"/>
      <c r="E5" s="28">
        <v>0.77100000000000002</v>
      </c>
      <c r="F5" s="29">
        <v>17.03</v>
      </c>
      <c r="G5" s="28">
        <v>488.3</v>
      </c>
      <c r="H5" s="28">
        <v>2219</v>
      </c>
      <c r="I5" s="28">
        <v>1680</v>
      </c>
      <c r="J5" s="28">
        <f t="shared" si="0"/>
        <v>1.3208333333333333</v>
      </c>
      <c r="K5" s="28">
        <v>9.18</v>
      </c>
      <c r="L5" s="30">
        <f t="shared" ref="L5:L32" si="9">(F5^-1)*1000</f>
        <v>58.719906048150321</v>
      </c>
      <c r="M5" s="31">
        <v>2.1999999999999999E-2</v>
      </c>
      <c r="N5" s="31">
        <f t="shared" si="1"/>
        <v>0</v>
      </c>
      <c r="O5" s="28">
        <v>240</v>
      </c>
      <c r="P5" s="28">
        <v>23.35</v>
      </c>
      <c r="Q5" s="32">
        <v>0</v>
      </c>
      <c r="R5" s="33">
        <f t="shared" ref="R5:R31" si="10">Q5/$Q$34</f>
        <v>0</v>
      </c>
      <c r="S5" s="34">
        <f t="shared" ref="S5:S33" si="11">(R5*$R$39)*101.3</f>
        <v>0</v>
      </c>
      <c r="T5" s="35">
        <f t="shared" si="2"/>
        <v>0</v>
      </c>
      <c r="U5" s="35">
        <f t="shared" si="3"/>
        <v>0</v>
      </c>
      <c r="V5" s="35">
        <f t="shared" si="4"/>
        <v>0</v>
      </c>
      <c r="W5" s="35">
        <f t="shared" si="5"/>
        <v>391.13854970181325</v>
      </c>
      <c r="X5" s="35" t="str">
        <f>IF(R5&gt;0,IF(W5&lt;$T$40," (Gas)"," (Vapor)"),"")</f>
        <v/>
      </c>
      <c r="Y5" s="35" t="str">
        <f t="shared" ref="Y5:Y33" si="12">IF(R5&gt;0,IF(W5&lt;$Y$3," (Gas)"," (Vapor)"),"")</f>
        <v/>
      </c>
      <c r="Z5" s="35" t="str">
        <f t="shared" ref="Z5:Z33" si="13">IF(R5&gt;0,IF(W5&lt;$Z$3," (Gas)"," (Vapor)"),"")</f>
        <v/>
      </c>
      <c r="AA5" s="36" t="str">
        <f t="shared" si="6"/>
        <v/>
      </c>
      <c r="AB5" s="6"/>
      <c r="AC5" s="6" t="str">
        <f t="shared" ref="AC5:AC34" si="14">B5</f>
        <v>Ammonia</v>
      </c>
      <c r="AD5" s="20">
        <f t="shared" ref="AD5:AD33" si="15">S5</f>
        <v>0</v>
      </c>
      <c r="AE5" s="6">
        <v>1</v>
      </c>
      <c r="AF5" s="6">
        <f t="shared" ref="AF5:AF33" si="16">IF(AD5&gt;0,AE5,0)</f>
        <v>0</v>
      </c>
      <c r="AG5" s="37">
        <f t="shared" ref="AG5:AG33" si="17">E5</f>
        <v>0.77100000000000002</v>
      </c>
      <c r="AH5" s="37">
        <f t="shared" ref="AH5:AH33" si="18">IF(AG5&gt;$AG$18,1,0)</f>
        <v>0</v>
      </c>
      <c r="AI5" s="37">
        <f t="shared" ref="AI5:AI33" si="19">IF(S5&gt;$S$18,1,0)</f>
        <v>0</v>
      </c>
      <c r="AJ5" s="37">
        <f t="shared" ref="AJ5:AJ33" si="20">AH5*AI5</f>
        <v>0</v>
      </c>
      <c r="AK5" s="6">
        <v>10000</v>
      </c>
      <c r="AL5" s="6">
        <f t="shared" ref="AL5:AL33" si="21">AK5*F5</f>
        <v>170300</v>
      </c>
      <c r="AM5" s="6" t="s">
        <v>46</v>
      </c>
      <c r="AN5" s="6"/>
      <c r="AO5" s="6"/>
      <c r="AP5" s="6"/>
      <c r="AQ5" s="6"/>
      <c r="AR5" s="6"/>
      <c r="AS5" s="38" t="s">
        <v>50</v>
      </c>
      <c r="AT5" s="22">
        <f t="shared" si="7"/>
        <v>537.11666230386606</v>
      </c>
      <c r="AU5" s="23" t="str">
        <f t="shared" si="8"/>
        <v>[K]</v>
      </c>
      <c r="AV5" s="39"/>
      <c r="AW5" s="40"/>
    </row>
    <row r="6" spans="1:49">
      <c r="A6" s="7"/>
      <c r="B6" s="41" t="s">
        <v>51</v>
      </c>
      <c r="C6" s="26" t="s">
        <v>52</v>
      </c>
      <c r="D6" s="27"/>
      <c r="E6" s="28">
        <v>1.782</v>
      </c>
      <c r="F6" s="29">
        <v>39.94</v>
      </c>
      <c r="G6" s="28">
        <v>208.5</v>
      </c>
      <c r="H6" s="28">
        <v>532</v>
      </c>
      <c r="I6" s="28">
        <v>322</v>
      </c>
      <c r="J6" s="28">
        <f t="shared" si="0"/>
        <v>1.6521739130434783</v>
      </c>
      <c r="K6" s="28">
        <v>20.9</v>
      </c>
      <c r="L6" s="30">
        <f t="shared" si="9"/>
        <v>25.037556334501755</v>
      </c>
      <c r="M6" s="31">
        <v>1.6E-2</v>
      </c>
      <c r="N6" s="31">
        <f t="shared" si="1"/>
        <v>0</v>
      </c>
      <c r="O6" s="28">
        <v>87.15</v>
      </c>
      <c r="P6" s="28">
        <v>6.53</v>
      </c>
      <c r="Q6" s="32">
        <v>0</v>
      </c>
      <c r="R6" s="33">
        <f t="shared" si="10"/>
        <v>0</v>
      </c>
      <c r="S6" s="34">
        <f t="shared" si="11"/>
        <v>0</v>
      </c>
      <c r="T6" s="35">
        <f t="shared" si="2"/>
        <v>0</v>
      </c>
      <c r="U6" s="35">
        <f t="shared" si="3"/>
        <v>0</v>
      </c>
      <c r="V6" s="35">
        <f t="shared" si="4"/>
        <v>0</v>
      </c>
      <c r="W6" s="35">
        <f t="shared" si="5"/>
        <v>174.90696157602298</v>
      </c>
      <c r="X6" s="35" t="str">
        <f t="shared" ref="X6:X33" si="22">IF(R6&gt;0,IF(W6&lt;$T$40," (Gas)"," (Vapor)"),"")</f>
        <v/>
      </c>
      <c r="Y6" s="35" t="str">
        <f t="shared" si="12"/>
        <v/>
      </c>
      <c r="Z6" s="35" t="str">
        <f t="shared" si="13"/>
        <v/>
      </c>
      <c r="AA6" s="36" t="str">
        <f t="shared" si="6"/>
        <v/>
      </c>
      <c r="AB6" s="6"/>
      <c r="AC6" s="6" t="str">
        <f t="shared" si="14"/>
        <v>Argon</v>
      </c>
      <c r="AD6" s="20">
        <f t="shared" si="15"/>
        <v>0</v>
      </c>
      <c r="AE6" s="6">
        <v>0</v>
      </c>
      <c r="AF6" s="6">
        <f t="shared" si="16"/>
        <v>0</v>
      </c>
      <c r="AG6" s="37">
        <f t="shared" si="17"/>
        <v>1.782</v>
      </c>
      <c r="AH6" s="37">
        <f t="shared" si="18"/>
        <v>1</v>
      </c>
      <c r="AI6" s="37">
        <f t="shared" si="19"/>
        <v>0</v>
      </c>
      <c r="AJ6" s="37">
        <f t="shared" si="20"/>
        <v>0</v>
      </c>
      <c r="AK6" s="6">
        <f>IF(R6&gt;0.01,1,9999)</f>
        <v>9999</v>
      </c>
      <c r="AL6" s="6">
        <f t="shared" si="21"/>
        <v>399360.06</v>
      </c>
      <c r="AM6" s="6">
        <v>71</v>
      </c>
      <c r="AN6" s="6"/>
      <c r="AO6" s="6"/>
      <c r="AP6" s="6"/>
      <c r="AQ6" s="6"/>
      <c r="AR6" s="6"/>
      <c r="AS6" s="42" t="s">
        <v>53</v>
      </c>
      <c r="AT6" s="22">
        <f t="shared" si="7"/>
        <v>41.79949689560263</v>
      </c>
      <c r="AU6" s="23" t="str">
        <f t="shared" si="8"/>
        <v>[g/mol]</v>
      </c>
      <c r="AV6" s="23"/>
      <c r="AW6" s="24"/>
    </row>
    <row r="7" spans="1:49">
      <c r="A7" s="7"/>
      <c r="B7" s="41" t="s">
        <v>54</v>
      </c>
      <c r="C7" s="26" t="s">
        <v>55</v>
      </c>
      <c r="D7" s="27"/>
      <c r="E7" s="28">
        <v>1.2509999999999999</v>
      </c>
      <c r="F7" s="29">
        <v>28.02</v>
      </c>
      <c r="G7" s="28">
        <v>296.7</v>
      </c>
      <c r="H7" s="28">
        <v>1047</v>
      </c>
      <c r="I7" s="28">
        <v>746</v>
      </c>
      <c r="J7" s="28">
        <f t="shared" si="0"/>
        <v>1.4034852546916889</v>
      </c>
      <c r="K7" s="28">
        <v>17</v>
      </c>
      <c r="L7" s="30">
        <f t="shared" si="9"/>
        <v>35.68879371877231</v>
      </c>
      <c r="M7" s="31">
        <v>2.4E-2</v>
      </c>
      <c r="N7" s="31">
        <f t="shared" si="1"/>
        <v>4.5840000000000005</v>
      </c>
      <c r="O7" s="28">
        <v>77.355000000000004</v>
      </c>
      <c r="P7" s="28">
        <v>6.1</v>
      </c>
      <c r="Q7" s="32">
        <v>191</v>
      </c>
      <c r="R7" s="33">
        <f t="shared" si="10"/>
        <v>6.1127824361518271E-3</v>
      </c>
      <c r="S7" s="34">
        <f t="shared" si="11"/>
        <v>56.968687191960569</v>
      </c>
      <c r="T7" s="35">
        <f t="shared" si="2"/>
        <v>0.17128016386097419</v>
      </c>
      <c r="U7" s="35">
        <f t="shared" si="3"/>
        <v>50.818824617551044</v>
      </c>
      <c r="V7" s="35">
        <f t="shared" si="4"/>
        <v>8.5792000142774303E-3</v>
      </c>
      <c r="W7" s="35">
        <f t="shared" si="5"/>
        <v>147.8319600949628</v>
      </c>
      <c r="X7" s="35" t="str">
        <f t="shared" si="22"/>
        <v xml:space="preserve"> (Gas)</v>
      </c>
      <c r="Y7" s="35" t="str">
        <f t="shared" si="12"/>
        <v xml:space="preserve"> (Gas)</v>
      </c>
      <c r="Z7" s="35" t="str">
        <f t="shared" si="13"/>
        <v xml:space="preserve"> (Gas)</v>
      </c>
      <c r="AA7" s="36" t="str">
        <f t="shared" si="6"/>
        <v xml:space="preserve"> (Gas)</v>
      </c>
      <c r="AB7" s="6"/>
      <c r="AC7" s="6" t="str">
        <f t="shared" si="14"/>
        <v>Nitrogen</v>
      </c>
      <c r="AD7" s="20">
        <f t="shared" si="15"/>
        <v>56.968687191960569</v>
      </c>
      <c r="AE7" s="6">
        <v>0</v>
      </c>
      <c r="AF7" s="6">
        <f t="shared" si="16"/>
        <v>0</v>
      </c>
      <c r="AG7" s="37">
        <f t="shared" si="17"/>
        <v>1.2509999999999999</v>
      </c>
      <c r="AH7" s="37">
        <f t="shared" si="18"/>
        <v>0</v>
      </c>
      <c r="AI7" s="37">
        <f t="shared" si="19"/>
        <v>1</v>
      </c>
      <c r="AJ7" s="37">
        <f t="shared" si="20"/>
        <v>0</v>
      </c>
      <c r="AK7" s="6">
        <f>IF(R7&gt;0.01,1,9999)</f>
        <v>9999</v>
      </c>
      <c r="AL7" s="6">
        <f t="shared" si="21"/>
        <v>280171.98</v>
      </c>
      <c r="AM7" s="6">
        <v>56</v>
      </c>
      <c r="AN7" s="6"/>
      <c r="AO7" s="6"/>
      <c r="AP7" s="6"/>
      <c r="AQ7" s="6"/>
      <c r="AR7" s="6"/>
      <c r="AS7" s="21" t="s">
        <v>56</v>
      </c>
      <c r="AT7" s="22">
        <f t="shared" si="7"/>
        <v>199.38704779236915</v>
      </c>
      <c r="AU7" s="23" t="str">
        <f t="shared" si="8"/>
        <v>[J/kg*K]</v>
      </c>
      <c r="AV7" s="23"/>
      <c r="AW7" s="24"/>
    </row>
    <row r="8" spans="1:49">
      <c r="A8" s="7"/>
      <c r="B8" s="41" t="s">
        <v>57</v>
      </c>
      <c r="C8" s="26" t="s">
        <v>58</v>
      </c>
      <c r="D8" s="27"/>
      <c r="E8" s="28">
        <v>1.34</v>
      </c>
      <c r="F8" s="29">
        <v>30.01</v>
      </c>
      <c r="G8" s="28">
        <v>277.10000000000002</v>
      </c>
      <c r="H8" s="28">
        <v>975</v>
      </c>
      <c r="I8" s="28">
        <v>696</v>
      </c>
      <c r="J8" s="28">
        <f t="shared" si="0"/>
        <v>1.4008620689655173</v>
      </c>
      <c r="K8" s="28">
        <v>17.8</v>
      </c>
      <c r="L8" s="30">
        <f t="shared" si="9"/>
        <v>33.322225924691764</v>
      </c>
      <c r="M8" s="31">
        <v>1.5100000000000001E-2</v>
      </c>
      <c r="N8" s="31">
        <f t="shared" si="1"/>
        <v>0</v>
      </c>
      <c r="O8" s="28">
        <v>184.67</v>
      </c>
      <c r="P8" s="28">
        <v>13.8</v>
      </c>
      <c r="Q8" s="32">
        <v>0</v>
      </c>
      <c r="R8" s="33">
        <f t="shared" si="10"/>
        <v>0</v>
      </c>
      <c r="S8" s="34">
        <f t="shared" si="11"/>
        <v>0</v>
      </c>
      <c r="T8" s="35">
        <f t="shared" si="2"/>
        <v>0</v>
      </c>
      <c r="U8" s="35">
        <f t="shared" si="3"/>
        <v>0</v>
      </c>
      <c r="V8" s="35">
        <f t="shared" si="4"/>
        <v>0</v>
      </c>
      <c r="W8" s="35">
        <f t="shared" si="5"/>
        <v>371.62965462287781</v>
      </c>
      <c r="X8" s="35" t="str">
        <f t="shared" si="22"/>
        <v/>
      </c>
      <c r="Y8" s="35" t="str">
        <f t="shared" si="12"/>
        <v/>
      </c>
      <c r="Z8" s="35" t="str">
        <f t="shared" si="13"/>
        <v/>
      </c>
      <c r="AA8" s="36" t="str">
        <f t="shared" si="6"/>
        <v/>
      </c>
      <c r="AB8" s="6"/>
      <c r="AC8" s="6" t="str">
        <f t="shared" si="14"/>
        <v>Nitrogen Oxide</v>
      </c>
      <c r="AD8" s="20">
        <f t="shared" si="15"/>
        <v>0</v>
      </c>
      <c r="AE8" s="6">
        <v>1</v>
      </c>
      <c r="AF8" s="6">
        <f t="shared" si="16"/>
        <v>0</v>
      </c>
      <c r="AG8" s="37">
        <f t="shared" si="17"/>
        <v>1.34</v>
      </c>
      <c r="AH8" s="37">
        <f t="shared" si="18"/>
        <v>0</v>
      </c>
      <c r="AI8" s="37">
        <f t="shared" si="19"/>
        <v>0</v>
      </c>
      <c r="AJ8" s="37">
        <f t="shared" si="20"/>
        <v>0</v>
      </c>
      <c r="AK8" s="6">
        <v>10000</v>
      </c>
      <c r="AL8" s="6">
        <f t="shared" si="21"/>
        <v>300100</v>
      </c>
      <c r="AM8" s="6" t="s">
        <v>46</v>
      </c>
      <c r="AN8" s="6"/>
      <c r="AO8" s="6"/>
      <c r="AP8" s="6"/>
      <c r="AQ8" s="6"/>
      <c r="AR8" s="6"/>
      <c r="AS8" s="43" t="s">
        <v>59</v>
      </c>
      <c r="AT8" s="22">
        <f t="shared" si="7"/>
        <v>1.470910836587083E-2</v>
      </c>
      <c r="AU8" s="23" t="str">
        <f t="shared" si="8"/>
        <v>[W/(m K)]</v>
      </c>
      <c r="AV8" s="39"/>
      <c r="AW8" s="40"/>
    </row>
    <row r="9" spans="1:49">
      <c r="A9" s="7"/>
      <c r="B9" s="41" t="s">
        <v>60</v>
      </c>
      <c r="C9" s="26" t="s">
        <v>61</v>
      </c>
      <c r="D9" s="27"/>
      <c r="E9" s="28">
        <v>2.673</v>
      </c>
      <c r="F9" s="29">
        <v>58.12</v>
      </c>
      <c r="G9" s="28">
        <v>143.19999999999999</v>
      </c>
      <c r="H9" s="28">
        <v>1917</v>
      </c>
      <c r="I9" s="28">
        <v>1733</v>
      </c>
      <c r="J9" s="28">
        <f t="shared" si="0"/>
        <v>1.1061742642815926</v>
      </c>
      <c r="K9" s="28">
        <v>8.1</v>
      </c>
      <c r="L9" s="30">
        <f t="shared" si="9"/>
        <v>17.205781142463866</v>
      </c>
      <c r="M9" s="31">
        <v>1.7000000000000001E-2</v>
      </c>
      <c r="N9" s="31">
        <f t="shared" si="1"/>
        <v>0</v>
      </c>
      <c r="O9" s="28">
        <v>271</v>
      </c>
      <c r="P9" s="28">
        <v>21</v>
      </c>
      <c r="Q9" s="32">
        <v>0</v>
      </c>
      <c r="R9" s="33">
        <f t="shared" si="10"/>
        <v>0</v>
      </c>
      <c r="S9" s="34">
        <f t="shared" si="11"/>
        <v>0</v>
      </c>
      <c r="T9" s="35">
        <f t="shared" si="2"/>
        <v>0</v>
      </c>
      <c r="U9" s="35">
        <f t="shared" si="3"/>
        <v>0</v>
      </c>
      <c r="V9" s="35">
        <f t="shared" si="4"/>
        <v>0</v>
      </c>
      <c r="W9" s="35">
        <f t="shared" si="5"/>
        <v>526.36031667846692</v>
      </c>
      <c r="X9" s="35" t="str">
        <f t="shared" si="22"/>
        <v/>
      </c>
      <c r="Y9" s="35" t="str">
        <f t="shared" si="12"/>
        <v/>
      </c>
      <c r="Z9" s="35" t="str">
        <f t="shared" si="13"/>
        <v/>
      </c>
      <c r="AA9" s="36" t="str">
        <f t="shared" si="6"/>
        <v/>
      </c>
      <c r="AB9" s="6"/>
      <c r="AC9" s="6" t="str">
        <f t="shared" si="14"/>
        <v>Butane</v>
      </c>
      <c r="AD9" s="20">
        <f t="shared" si="15"/>
        <v>0</v>
      </c>
      <c r="AE9" s="6">
        <v>1</v>
      </c>
      <c r="AF9" s="6">
        <f t="shared" si="16"/>
        <v>0</v>
      </c>
      <c r="AG9" s="37">
        <f t="shared" si="17"/>
        <v>2.673</v>
      </c>
      <c r="AH9" s="37">
        <f t="shared" si="18"/>
        <v>1</v>
      </c>
      <c r="AI9" s="37">
        <f t="shared" si="19"/>
        <v>0</v>
      </c>
      <c r="AJ9" s="37">
        <f t="shared" si="20"/>
        <v>0</v>
      </c>
      <c r="AK9" s="6">
        <v>10000</v>
      </c>
      <c r="AL9" s="6">
        <f t="shared" si="21"/>
        <v>581200</v>
      </c>
      <c r="AM9" s="6" t="s">
        <v>46</v>
      </c>
      <c r="AN9" s="6"/>
      <c r="AO9" s="6"/>
      <c r="AP9" s="6"/>
      <c r="AQ9" s="6"/>
      <c r="AR9" s="6"/>
      <c r="AS9" s="43" t="s">
        <v>62</v>
      </c>
      <c r="AT9" s="22">
        <f t="shared" si="7"/>
        <v>116.82692307692308</v>
      </c>
      <c r="AU9" s="23" t="str">
        <f t="shared" si="8"/>
        <v>[Earth solar days)</v>
      </c>
      <c r="AV9" s="39"/>
      <c r="AW9" s="40"/>
    </row>
    <row r="10" spans="1:49">
      <c r="A10" s="7"/>
      <c r="B10" s="41" t="s">
        <v>63</v>
      </c>
      <c r="C10" s="26" t="s">
        <v>61</v>
      </c>
      <c r="D10" s="27"/>
      <c r="E10" s="28">
        <v>2.6680000000000001</v>
      </c>
      <c r="F10" s="29">
        <v>58.12</v>
      </c>
      <c r="G10" s="28">
        <v>143.19999999999999</v>
      </c>
      <c r="H10" s="28">
        <v>1632</v>
      </c>
      <c r="I10" s="28">
        <f>H10/J10</f>
        <v>1457.1428571428571</v>
      </c>
      <c r="J10" s="28">
        <v>1.1200000000000001</v>
      </c>
      <c r="K10" s="28">
        <v>7.47</v>
      </c>
      <c r="L10" s="30">
        <f t="shared" si="9"/>
        <v>17.205781142463866</v>
      </c>
      <c r="M10" s="31">
        <v>1.7000000000000001E-2</v>
      </c>
      <c r="N10" s="31">
        <f t="shared" si="1"/>
        <v>0</v>
      </c>
      <c r="O10" s="28">
        <v>273</v>
      </c>
      <c r="P10" s="28">
        <v>21</v>
      </c>
      <c r="Q10" s="32">
        <v>0</v>
      </c>
      <c r="R10" s="33">
        <f t="shared" si="10"/>
        <v>0</v>
      </c>
      <c r="S10" s="34">
        <f t="shared" si="11"/>
        <v>0</v>
      </c>
      <c r="T10" s="35">
        <f t="shared" si="2"/>
        <v>0</v>
      </c>
      <c r="U10" s="35">
        <f t="shared" si="3"/>
        <v>0</v>
      </c>
      <c r="V10" s="35">
        <f t="shared" si="4"/>
        <v>0</v>
      </c>
      <c r="W10" s="35">
        <f t="shared" si="5"/>
        <v>533.95812613099929</v>
      </c>
      <c r="X10" s="35" t="str">
        <f t="shared" si="22"/>
        <v/>
      </c>
      <c r="Y10" s="35" t="str">
        <f t="shared" si="12"/>
        <v/>
      </c>
      <c r="Z10" s="35" t="str">
        <f t="shared" si="13"/>
        <v/>
      </c>
      <c r="AA10" s="36" t="str">
        <f t="shared" si="6"/>
        <v/>
      </c>
      <c r="AB10" s="6"/>
      <c r="AC10" s="6" t="str">
        <f t="shared" si="14"/>
        <v>i-Butane</v>
      </c>
      <c r="AD10" s="20">
        <f t="shared" si="15"/>
        <v>0</v>
      </c>
      <c r="AE10" s="6">
        <v>1</v>
      </c>
      <c r="AF10" s="6">
        <f t="shared" si="16"/>
        <v>0</v>
      </c>
      <c r="AG10" s="37">
        <f t="shared" si="17"/>
        <v>2.6680000000000001</v>
      </c>
      <c r="AH10" s="37">
        <f t="shared" si="18"/>
        <v>1</v>
      </c>
      <c r="AI10" s="37">
        <f t="shared" si="19"/>
        <v>0</v>
      </c>
      <c r="AJ10" s="37">
        <f t="shared" si="20"/>
        <v>0</v>
      </c>
      <c r="AK10" s="6">
        <v>10000</v>
      </c>
      <c r="AL10" s="6">
        <f t="shared" si="21"/>
        <v>581200</v>
      </c>
      <c r="AM10" s="6" t="s">
        <v>46</v>
      </c>
      <c r="AN10" s="6"/>
      <c r="AO10" s="6"/>
      <c r="AP10" s="6"/>
      <c r="AQ10" s="6"/>
      <c r="AR10" s="6"/>
      <c r="AS10" s="43" t="s">
        <v>64</v>
      </c>
      <c r="AT10" s="22">
        <f t="shared" si="7"/>
        <v>2.0315179492058495</v>
      </c>
      <c r="AU10" s="23" t="str">
        <f t="shared" si="8"/>
        <v>[K]</v>
      </c>
      <c r="AV10" s="39"/>
      <c r="AW10" s="40"/>
    </row>
    <row r="11" spans="1:49">
      <c r="A11" s="7"/>
      <c r="B11" s="41" t="s">
        <v>65</v>
      </c>
      <c r="C11" s="26" t="s">
        <v>66</v>
      </c>
      <c r="D11" s="27"/>
      <c r="E11" s="28">
        <v>1.357</v>
      </c>
      <c r="F11" s="29">
        <v>30.06</v>
      </c>
      <c r="G11" s="28">
        <v>276.7</v>
      </c>
      <c r="H11" s="28">
        <v>1729</v>
      </c>
      <c r="I11" s="28">
        <v>1445</v>
      </c>
      <c r="J11" s="28">
        <f>H11/I11</f>
        <v>1.1965397923875432</v>
      </c>
      <c r="K11" s="28">
        <v>8.5</v>
      </c>
      <c r="L11" s="30">
        <f t="shared" si="9"/>
        <v>33.266799733865604</v>
      </c>
      <c r="M11" s="31">
        <v>1.7999999999999999E-2</v>
      </c>
      <c r="N11" s="31">
        <f t="shared" si="1"/>
        <v>0</v>
      </c>
      <c r="O11" s="28">
        <v>184.6</v>
      </c>
      <c r="P11" s="28">
        <v>79.87</v>
      </c>
      <c r="Q11" s="32">
        <v>0</v>
      </c>
      <c r="R11" s="33">
        <f t="shared" si="10"/>
        <v>0</v>
      </c>
      <c r="S11" s="34">
        <f t="shared" si="11"/>
        <v>0</v>
      </c>
      <c r="T11" s="35">
        <f t="shared" si="2"/>
        <v>0</v>
      </c>
      <c r="U11" s="35">
        <f t="shared" si="3"/>
        <v>0</v>
      </c>
      <c r="V11" s="35">
        <f t="shared" si="4"/>
        <v>0</v>
      </c>
      <c r="W11" s="35">
        <f t="shared" si="5"/>
        <v>202.16615613361205</v>
      </c>
      <c r="X11" s="35" t="str">
        <f t="shared" si="22"/>
        <v/>
      </c>
      <c r="Y11" s="35" t="str">
        <f t="shared" si="12"/>
        <v/>
      </c>
      <c r="Z11" s="35" t="str">
        <f t="shared" si="13"/>
        <v/>
      </c>
      <c r="AA11" s="36" t="str">
        <f t="shared" si="6"/>
        <v/>
      </c>
      <c r="AB11" s="6"/>
      <c r="AC11" s="6" t="str">
        <f t="shared" si="14"/>
        <v>Ethane</v>
      </c>
      <c r="AD11" s="20">
        <f t="shared" si="15"/>
        <v>0</v>
      </c>
      <c r="AE11" s="6">
        <v>0</v>
      </c>
      <c r="AF11" s="6">
        <f t="shared" si="16"/>
        <v>0</v>
      </c>
      <c r="AG11" s="37">
        <f t="shared" si="17"/>
        <v>1.357</v>
      </c>
      <c r="AH11" s="37">
        <f t="shared" si="18"/>
        <v>0</v>
      </c>
      <c r="AI11" s="37">
        <f t="shared" si="19"/>
        <v>0</v>
      </c>
      <c r="AJ11" s="37">
        <f t="shared" si="20"/>
        <v>0</v>
      </c>
      <c r="AK11" s="6">
        <v>10000</v>
      </c>
      <c r="AL11" s="6">
        <f t="shared" si="21"/>
        <v>300600</v>
      </c>
      <c r="AM11" s="6" t="s">
        <v>46</v>
      </c>
      <c r="AN11" s="6"/>
      <c r="AO11" s="6"/>
      <c r="AP11" s="6"/>
      <c r="AQ11" s="6"/>
      <c r="AR11" s="6"/>
      <c r="AS11" s="43" t="s">
        <v>67</v>
      </c>
      <c r="AT11" s="22">
        <f t="shared" si="7"/>
        <v>2658.7107474335962</v>
      </c>
      <c r="AU11" s="23" t="str">
        <f t="shared" si="8"/>
        <v>[W/m^2]</v>
      </c>
      <c r="AV11" s="39"/>
      <c r="AW11" s="40"/>
    </row>
    <row r="12" spans="1:49">
      <c r="A12" s="7"/>
      <c r="B12" s="41" t="s">
        <v>68</v>
      </c>
      <c r="C12" s="26" t="s">
        <v>69</v>
      </c>
      <c r="D12" s="27"/>
      <c r="E12" s="28">
        <v>1.2609999999999999</v>
      </c>
      <c r="F12" s="29">
        <v>28.05</v>
      </c>
      <c r="G12" s="28">
        <v>296.60000000000002</v>
      </c>
      <c r="H12" s="28">
        <v>1528</v>
      </c>
      <c r="I12" s="28">
        <v>1222</v>
      </c>
      <c r="J12" s="28">
        <f>H12/I12</f>
        <v>1.2504091653027822</v>
      </c>
      <c r="K12" s="28">
        <v>9.85</v>
      </c>
      <c r="L12" s="30">
        <f t="shared" si="9"/>
        <v>35.650623885918002</v>
      </c>
      <c r="M12" s="31">
        <v>1.7000000000000001E-2</v>
      </c>
      <c r="N12" s="31">
        <f t="shared" si="1"/>
        <v>0</v>
      </c>
      <c r="O12" s="28">
        <v>169.5</v>
      </c>
      <c r="P12" s="28">
        <v>79.95</v>
      </c>
      <c r="Q12" s="32">
        <v>0</v>
      </c>
      <c r="R12" s="33">
        <f t="shared" si="10"/>
        <v>0</v>
      </c>
      <c r="S12" s="34">
        <f t="shared" si="11"/>
        <v>0</v>
      </c>
      <c r="T12" s="35">
        <f t="shared" si="2"/>
        <v>0</v>
      </c>
      <c r="U12" s="35">
        <f t="shared" si="3"/>
        <v>0</v>
      </c>
      <c r="V12" s="35">
        <f t="shared" si="4"/>
        <v>0</v>
      </c>
      <c r="W12" s="35">
        <f t="shared" si="5"/>
        <v>184.17955631834695</v>
      </c>
      <c r="X12" s="35" t="str">
        <f t="shared" si="22"/>
        <v/>
      </c>
      <c r="Y12" s="35" t="str">
        <f t="shared" si="12"/>
        <v/>
      </c>
      <c r="Z12" s="35" t="str">
        <f t="shared" si="13"/>
        <v/>
      </c>
      <c r="AA12" s="36" t="str">
        <f t="shared" si="6"/>
        <v/>
      </c>
      <c r="AB12" s="6"/>
      <c r="AC12" s="6" t="str">
        <f t="shared" si="14"/>
        <v>Ethylene</v>
      </c>
      <c r="AD12" s="20">
        <f t="shared" si="15"/>
        <v>0</v>
      </c>
      <c r="AE12" s="6">
        <v>0</v>
      </c>
      <c r="AF12" s="6">
        <f t="shared" si="16"/>
        <v>0</v>
      </c>
      <c r="AG12" s="37">
        <f t="shared" si="17"/>
        <v>1.2609999999999999</v>
      </c>
      <c r="AH12" s="37">
        <f t="shared" si="18"/>
        <v>0</v>
      </c>
      <c r="AI12" s="37">
        <f t="shared" si="19"/>
        <v>0</v>
      </c>
      <c r="AJ12" s="37">
        <f t="shared" si="20"/>
        <v>0</v>
      </c>
      <c r="AK12" s="6">
        <v>10000</v>
      </c>
      <c r="AL12" s="6">
        <f t="shared" si="21"/>
        <v>280500</v>
      </c>
      <c r="AM12" s="6" t="s">
        <v>46</v>
      </c>
      <c r="AN12" s="6"/>
      <c r="AO12" s="6"/>
      <c r="AP12" s="6"/>
      <c r="AQ12" s="6"/>
      <c r="AR12" s="6"/>
      <c r="AS12" s="43" t="s">
        <v>70</v>
      </c>
      <c r="AT12" s="22">
        <f t="shared" si="7"/>
        <v>0.7982592918722573</v>
      </c>
      <c r="AU12" s="23" t="str">
        <f t="shared" si="8"/>
        <v>[Mass Earth)</v>
      </c>
      <c r="AV12" s="39"/>
      <c r="AW12" s="40"/>
    </row>
    <row r="13" spans="1:49">
      <c r="A13" s="7"/>
      <c r="B13" s="41" t="s">
        <v>71</v>
      </c>
      <c r="C13" s="44" t="s">
        <v>72</v>
      </c>
      <c r="D13" s="27"/>
      <c r="E13" s="28">
        <v>0.71399999999999997</v>
      </c>
      <c r="F13" s="29">
        <v>74.12</v>
      </c>
      <c r="G13" s="28">
        <v>112.2</v>
      </c>
      <c r="H13" s="28">
        <v>2302</v>
      </c>
      <c r="I13" s="28" t="s">
        <v>73</v>
      </c>
      <c r="J13" s="28" t="s">
        <v>73</v>
      </c>
      <c r="K13" s="28">
        <v>286</v>
      </c>
      <c r="L13" s="30">
        <f t="shared" si="9"/>
        <v>13.491635186184565</v>
      </c>
      <c r="M13" s="31">
        <v>0.14000000000000001</v>
      </c>
      <c r="N13" s="31">
        <f t="shared" si="1"/>
        <v>0</v>
      </c>
      <c r="O13" s="28">
        <v>307.8</v>
      </c>
      <c r="P13" s="28">
        <v>27.2</v>
      </c>
      <c r="Q13" s="32">
        <v>0</v>
      </c>
      <c r="R13" s="33">
        <f t="shared" si="10"/>
        <v>0</v>
      </c>
      <c r="S13" s="34">
        <f t="shared" si="11"/>
        <v>0</v>
      </c>
      <c r="T13" s="35">
        <f t="shared" si="2"/>
        <v>0</v>
      </c>
      <c r="U13" s="35">
        <f t="shared" si="3"/>
        <v>0</v>
      </c>
      <c r="V13" s="35">
        <f t="shared" si="4"/>
        <v>0</v>
      </c>
      <c r="W13" s="35">
        <f t="shared" si="5"/>
        <v>535.69753888189109</v>
      </c>
      <c r="X13" s="35" t="str">
        <f t="shared" si="22"/>
        <v/>
      </c>
      <c r="Y13" s="35" t="str">
        <f t="shared" si="12"/>
        <v/>
      </c>
      <c r="Z13" s="35" t="str">
        <f t="shared" si="13"/>
        <v/>
      </c>
      <c r="AA13" s="36" t="str">
        <f t="shared" si="6"/>
        <v/>
      </c>
      <c r="AB13" s="6"/>
      <c r="AC13" s="6" t="str">
        <f t="shared" si="14"/>
        <v>Ethyl Ether</v>
      </c>
      <c r="AD13" s="20">
        <f t="shared" si="15"/>
        <v>0</v>
      </c>
      <c r="AE13" s="6">
        <v>1</v>
      </c>
      <c r="AF13" s="6">
        <f t="shared" si="16"/>
        <v>0</v>
      </c>
      <c r="AG13" s="37">
        <f t="shared" si="17"/>
        <v>0.71399999999999997</v>
      </c>
      <c r="AH13" s="37">
        <f t="shared" si="18"/>
        <v>0</v>
      </c>
      <c r="AI13" s="37">
        <f t="shared" si="19"/>
        <v>0</v>
      </c>
      <c r="AJ13" s="37">
        <f t="shared" si="20"/>
        <v>0</v>
      </c>
      <c r="AK13" s="6">
        <v>10000</v>
      </c>
      <c r="AL13" s="6">
        <f t="shared" si="21"/>
        <v>741200</v>
      </c>
      <c r="AM13" s="6" t="s">
        <v>46</v>
      </c>
      <c r="AN13" s="6"/>
      <c r="AO13" s="6"/>
      <c r="AP13" s="6"/>
      <c r="AQ13" s="6"/>
      <c r="AR13" s="6"/>
      <c r="AS13" s="45" t="s">
        <v>74</v>
      </c>
      <c r="AT13" s="22">
        <f t="shared" si="7"/>
        <v>64.741101041774584</v>
      </c>
      <c r="AU13" s="23" t="str">
        <f t="shared" si="8"/>
        <v>[kg/m^3]</v>
      </c>
      <c r="AV13" s="46"/>
      <c r="AW13" s="47"/>
    </row>
    <row r="14" spans="1:49">
      <c r="A14" s="7"/>
      <c r="B14" s="41" t="s">
        <v>75</v>
      </c>
      <c r="C14" s="26" t="s">
        <v>76</v>
      </c>
      <c r="D14" s="27"/>
      <c r="E14" s="28">
        <v>0.92100000000000004</v>
      </c>
      <c r="F14" s="29">
        <v>64.5</v>
      </c>
      <c r="G14" s="28">
        <v>129</v>
      </c>
      <c r="H14" s="28">
        <v>1340</v>
      </c>
      <c r="I14" s="28" t="s">
        <v>73</v>
      </c>
      <c r="J14" s="28" t="s">
        <v>73</v>
      </c>
      <c r="K14" s="28">
        <v>9.4</v>
      </c>
      <c r="L14" s="30">
        <f t="shared" si="9"/>
        <v>15.503875968992247</v>
      </c>
      <c r="M14" s="31">
        <v>1.7000000000000001E-2</v>
      </c>
      <c r="N14" s="31">
        <f t="shared" si="1"/>
        <v>0</v>
      </c>
      <c r="O14" s="28">
        <v>285.42</v>
      </c>
      <c r="P14" s="28">
        <v>26</v>
      </c>
      <c r="Q14" s="32">
        <v>0</v>
      </c>
      <c r="R14" s="33">
        <f t="shared" si="10"/>
        <v>0</v>
      </c>
      <c r="S14" s="34">
        <f t="shared" si="11"/>
        <v>0</v>
      </c>
      <c r="T14" s="35">
        <f t="shared" si="2"/>
        <v>0</v>
      </c>
      <c r="U14" s="35">
        <f t="shared" si="3"/>
        <v>0</v>
      </c>
      <c r="V14" s="35">
        <f t="shared" si="4"/>
        <v>0</v>
      </c>
      <c r="W14" s="35">
        <f t="shared" si="5"/>
        <v>485.98424782693974</v>
      </c>
      <c r="X14" s="35" t="str">
        <f t="shared" si="22"/>
        <v/>
      </c>
      <c r="Y14" s="35" t="str">
        <f t="shared" si="12"/>
        <v/>
      </c>
      <c r="Z14" s="35" t="str">
        <f t="shared" si="13"/>
        <v/>
      </c>
      <c r="AA14" s="36" t="str">
        <f t="shared" si="6"/>
        <v/>
      </c>
      <c r="AB14" s="6"/>
      <c r="AC14" s="6" t="str">
        <f t="shared" si="14"/>
        <v>Ethyl Chloride</v>
      </c>
      <c r="AD14" s="20">
        <f t="shared" si="15"/>
        <v>0</v>
      </c>
      <c r="AE14" s="6">
        <v>2</v>
      </c>
      <c r="AF14" s="6">
        <f t="shared" si="16"/>
        <v>0</v>
      </c>
      <c r="AG14" s="37">
        <f t="shared" si="17"/>
        <v>0.92100000000000004</v>
      </c>
      <c r="AH14" s="37">
        <f t="shared" si="18"/>
        <v>0</v>
      </c>
      <c r="AI14" s="37">
        <f t="shared" si="19"/>
        <v>0</v>
      </c>
      <c r="AJ14" s="37">
        <f t="shared" si="20"/>
        <v>0</v>
      </c>
      <c r="AK14" s="6">
        <v>10000</v>
      </c>
      <c r="AL14" s="6">
        <f t="shared" si="21"/>
        <v>645000</v>
      </c>
      <c r="AM14" s="6" t="s">
        <v>46</v>
      </c>
      <c r="AN14" s="6"/>
      <c r="AO14" s="6"/>
      <c r="AP14" s="6"/>
      <c r="AQ14" s="6"/>
      <c r="AR14" s="6"/>
      <c r="AS14" s="38" t="s">
        <v>77</v>
      </c>
      <c r="AT14" s="22">
        <f t="shared" si="7"/>
        <v>16.275232966412656</v>
      </c>
      <c r="AU14" s="23" t="str">
        <f t="shared" si="8"/>
        <v>[km]</v>
      </c>
      <c r="AV14" s="48"/>
      <c r="AW14" s="49"/>
    </row>
    <row r="15" spans="1:49">
      <c r="A15" s="7"/>
      <c r="B15" s="41" t="s">
        <v>78</v>
      </c>
      <c r="C15" s="26" t="s">
        <v>79</v>
      </c>
      <c r="D15" s="27"/>
      <c r="E15" s="28">
        <v>0.17799999999999999</v>
      </c>
      <c r="F15" s="29">
        <v>4.0019999999999998</v>
      </c>
      <c r="G15" s="28">
        <v>2079</v>
      </c>
      <c r="H15" s="28">
        <v>5274</v>
      </c>
      <c r="I15" s="28">
        <v>3181</v>
      </c>
      <c r="J15" s="28">
        <f>H15/I15</f>
        <v>1.6579691920779629</v>
      </c>
      <c r="K15" s="28">
        <v>18.8</v>
      </c>
      <c r="L15" s="30">
        <f>(F15^-1)*1000</f>
        <v>249.87506246876561</v>
      </c>
      <c r="M15" s="31">
        <v>0.14199999999999999</v>
      </c>
      <c r="N15" s="31">
        <f t="shared" si="1"/>
        <v>0</v>
      </c>
      <c r="O15" s="28">
        <v>4.2220000000000004</v>
      </c>
      <c r="P15" s="28">
        <v>8.4500000000000006E-2</v>
      </c>
      <c r="Q15" s="32">
        <v>0</v>
      </c>
      <c r="R15" s="33">
        <f t="shared" si="10"/>
        <v>0</v>
      </c>
      <c r="S15" s="34">
        <f t="shared" si="11"/>
        <v>0</v>
      </c>
      <c r="T15" s="35">
        <f t="shared" si="2"/>
        <v>0</v>
      </c>
      <c r="U15" s="35">
        <f t="shared" si="3"/>
        <v>0</v>
      </c>
      <c r="V15" s="35">
        <f t="shared" si="4"/>
        <v>0</v>
      </c>
      <c r="W15" s="35">
        <f t="shared" si="5"/>
        <v>-4.8066150977438893</v>
      </c>
      <c r="X15" s="35" t="str">
        <f t="shared" si="22"/>
        <v/>
      </c>
      <c r="Y15" s="35" t="str">
        <f t="shared" si="12"/>
        <v/>
      </c>
      <c r="Z15" s="35" t="str">
        <f t="shared" si="13"/>
        <v/>
      </c>
      <c r="AA15" s="36" t="str">
        <f t="shared" si="6"/>
        <v/>
      </c>
      <c r="AB15" s="6"/>
      <c r="AC15" s="6" t="str">
        <f t="shared" si="14"/>
        <v>Helium</v>
      </c>
      <c r="AD15" s="20">
        <f t="shared" si="15"/>
        <v>0</v>
      </c>
      <c r="AE15" s="6">
        <v>0</v>
      </c>
      <c r="AF15" s="6">
        <f t="shared" si="16"/>
        <v>0</v>
      </c>
      <c r="AG15" s="37">
        <f t="shared" si="17"/>
        <v>0.17799999999999999</v>
      </c>
      <c r="AH15" s="37">
        <f t="shared" si="18"/>
        <v>0</v>
      </c>
      <c r="AI15" s="37">
        <f t="shared" si="19"/>
        <v>0</v>
      </c>
      <c r="AJ15" s="37">
        <f t="shared" si="20"/>
        <v>0</v>
      </c>
      <c r="AK15" s="6">
        <f>IF(R15&gt;0.01,1,9999)</f>
        <v>9999</v>
      </c>
      <c r="AL15" s="6">
        <f t="shared" si="21"/>
        <v>40015.998</v>
      </c>
      <c r="AM15" s="6">
        <v>31</v>
      </c>
      <c r="AN15" s="6"/>
      <c r="AO15" s="6"/>
      <c r="AP15" s="6"/>
      <c r="AQ15" s="6"/>
      <c r="AR15" s="6"/>
      <c r="AS15" s="38" t="s">
        <v>80</v>
      </c>
      <c r="AT15" s="22">
        <f t="shared" si="7"/>
        <v>224.85065288080224</v>
      </c>
      <c r="AU15" s="23" t="str">
        <f t="shared" si="8"/>
        <v>[km]</v>
      </c>
      <c r="AV15" s="48"/>
      <c r="AW15" s="49"/>
    </row>
    <row r="16" spans="1:49">
      <c r="A16" s="7"/>
      <c r="B16" s="41" t="s">
        <v>81</v>
      </c>
      <c r="C16" s="26" t="s">
        <v>82</v>
      </c>
      <c r="D16" s="27"/>
      <c r="E16" s="28">
        <v>3.2170000000000001</v>
      </c>
      <c r="F16" s="29">
        <v>70.91</v>
      </c>
      <c r="G16" s="28">
        <v>117.3</v>
      </c>
      <c r="H16" s="28">
        <v>481</v>
      </c>
      <c r="I16" s="28">
        <v>355</v>
      </c>
      <c r="J16" s="28">
        <f t="shared" ref="J16:J32" si="23">H16/I16</f>
        <v>1.3549295774647887</v>
      </c>
      <c r="K16" s="28">
        <v>12</v>
      </c>
      <c r="L16" s="30">
        <f t="shared" si="9"/>
        <v>14.10238330277817</v>
      </c>
      <c r="M16" s="31">
        <v>8.0999999999999996E-3</v>
      </c>
      <c r="N16" s="31">
        <f t="shared" si="1"/>
        <v>0</v>
      </c>
      <c r="O16" s="28">
        <v>239.11</v>
      </c>
      <c r="P16" s="28">
        <v>20.41</v>
      </c>
      <c r="Q16" s="32">
        <v>0</v>
      </c>
      <c r="R16" s="33">
        <f t="shared" si="10"/>
        <v>0</v>
      </c>
      <c r="S16" s="34">
        <f t="shared" si="11"/>
        <v>0</v>
      </c>
      <c r="T16" s="35">
        <f t="shared" si="2"/>
        <v>0</v>
      </c>
      <c r="U16" s="35">
        <f t="shared" si="3"/>
        <v>0</v>
      </c>
      <c r="V16" s="35">
        <f t="shared" si="4"/>
        <v>0</v>
      </c>
      <c r="W16" s="35">
        <f t="shared" si="5"/>
        <v>427.30879546466093</v>
      </c>
      <c r="X16" s="35" t="str">
        <f t="shared" si="22"/>
        <v/>
      </c>
      <c r="Y16" s="35" t="str">
        <f t="shared" si="12"/>
        <v/>
      </c>
      <c r="Z16" s="35" t="str">
        <f t="shared" si="13"/>
        <v/>
      </c>
      <c r="AA16" s="36" t="str">
        <f t="shared" si="6"/>
        <v/>
      </c>
      <c r="AB16" s="6"/>
      <c r="AC16" s="6" t="str">
        <f t="shared" si="14"/>
        <v>Chlor</v>
      </c>
      <c r="AD16" s="20">
        <f t="shared" si="15"/>
        <v>0</v>
      </c>
      <c r="AE16" s="6">
        <v>2</v>
      </c>
      <c r="AF16" s="6">
        <f t="shared" si="16"/>
        <v>0</v>
      </c>
      <c r="AG16" s="37">
        <f t="shared" si="17"/>
        <v>3.2170000000000001</v>
      </c>
      <c r="AH16" s="37">
        <f t="shared" si="18"/>
        <v>1</v>
      </c>
      <c r="AI16" s="37">
        <f t="shared" si="19"/>
        <v>0</v>
      </c>
      <c r="AJ16" s="37">
        <f t="shared" si="20"/>
        <v>0</v>
      </c>
      <c r="AK16" s="6">
        <f>IF(R16&gt;0.01,1,9999)</f>
        <v>9999</v>
      </c>
      <c r="AL16" s="6">
        <f t="shared" si="21"/>
        <v>709029.09</v>
      </c>
      <c r="AM16" s="6">
        <v>79</v>
      </c>
      <c r="AN16" s="6"/>
      <c r="AO16" s="6"/>
      <c r="AP16" s="6"/>
      <c r="AQ16" s="6"/>
      <c r="AR16" s="6"/>
      <c r="AS16" s="38" t="s">
        <v>83</v>
      </c>
      <c r="AT16" s="50">
        <f t="shared" si="7"/>
        <v>8.0085269438660717E-5</v>
      </c>
      <c r="AU16" s="23" t="str">
        <f t="shared" si="8"/>
        <v>[M (earth)]</v>
      </c>
      <c r="AV16" s="48"/>
      <c r="AW16" s="49"/>
    </row>
    <row r="17" spans="1:62">
      <c r="A17" s="7"/>
      <c r="B17" s="41" t="s">
        <v>84</v>
      </c>
      <c r="C17" s="26" t="s">
        <v>85</v>
      </c>
      <c r="D17" s="27"/>
      <c r="E17" s="28">
        <v>1.639</v>
      </c>
      <c r="F17" s="29">
        <v>36.47</v>
      </c>
      <c r="G17" s="28">
        <v>228</v>
      </c>
      <c r="H17" s="28">
        <v>812</v>
      </c>
      <c r="I17" s="28">
        <v>583</v>
      </c>
      <c r="J17" s="28">
        <f t="shared" si="23"/>
        <v>1.3927958833619212</v>
      </c>
      <c r="K17" s="28" t="s">
        <v>73</v>
      </c>
      <c r="L17" s="30">
        <f t="shared" si="9"/>
        <v>27.419797093501508</v>
      </c>
      <c r="M17" s="31">
        <v>1.2999999999999999E-2</v>
      </c>
      <c r="N17" s="31">
        <f t="shared" si="1"/>
        <v>0</v>
      </c>
      <c r="O17" s="28">
        <v>188.1</v>
      </c>
      <c r="P17" s="28">
        <v>16.2</v>
      </c>
      <c r="Q17" s="32">
        <v>0</v>
      </c>
      <c r="R17" s="33">
        <f t="shared" si="10"/>
        <v>0</v>
      </c>
      <c r="S17" s="34">
        <f t="shared" si="11"/>
        <v>0</v>
      </c>
      <c r="T17" s="35">
        <f t="shared" si="2"/>
        <v>0</v>
      </c>
      <c r="U17" s="35">
        <f t="shared" si="3"/>
        <v>0</v>
      </c>
      <c r="V17" s="35">
        <f t="shared" si="4"/>
        <v>0</v>
      </c>
      <c r="W17" s="35">
        <f t="shared" si="5"/>
        <v>333.81240438207402</v>
      </c>
      <c r="X17" s="35" t="str">
        <f t="shared" si="22"/>
        <v/>
      </c>
      <c r="Y17" s="35" t="str">
        <f t="shared" si="12"/>
        <v/>
      </c>
      <c r="Z17" s="35" t="str">
        <f t="shared" si="13"/>
        <v/>
      </c>
      <c r="AA17" s="36" t="str">
        <f t="shared" si="6"/>
        <v/>
      </c>
      <c r="AB17" s="6"/>
      <c r="AC17" s="6" t="str">
        <f t="shared" si="14"/>
        <v>Hydrogen Chloride</v>
      </c>
      <c r="AD17" s="20">
        <f t="shared" si="15"/>
        <v>0</v>
      </c>
      <c r="AE17" s="6">
        <v>2</v>
      </c>
      <c r="AF17" s="6">
        <f t="shared" si="16"/>
        <v>0</v>
      </c>
      <c r="AG17" s="37">
        <f t="shared" si="17"/>
        <v>1.639</v>
      </c>
      <c r="AH17" s="37">
        <f t="shared" si="18"/>
        <v>1</v>
      </c>
      <c r="AI17" s="37">
        <f t="shared" si="19"/>
        <v>0</v>
      </c>
      <c r="AJ17" s="37">
        <f t="shared" si="20"/>
        <v>0</v>
      </c>
      <c r="AK17" s="6">
        <v>10000</v>
      </c>
      <c r="AL17" s="6">
        <f t="shared" si="21"/>
        <v>364700</v>
      </c>
      <c r="AM17" s="6" t="s">
        <v>46</v>
      </c>
      <c r="AN17" s="6"/>
      <c r="AO17" s="6"/>
      <c r="AP17" s="6"/>
      <c r="AQ17" s="6"/>
      <c r="AR17" s="6"/>
      <c r="AS17" s="38" t="s">
        <v>86</v>
      </c>
      <c r="AT17" s="22">
        <f t="shared" si="7"/>
        <v>92.870766075509735</v>
      </c>
      <c r="AU17" s="23" t="str">
        <f>AA61</f>
        <v>[M(eam)]</v>
      </c>
      <c r="AV17" s="48"/>
      <c r="AW17" s="49"/>
    </row>
    <row r="18" spans="1:62">
      <c r="A18" s="7"/>
      <c r="B18" s="41" t="s">
        <v>87</v>
      </c>
      <c r="C18" s="26" t="s">
        <v>88</v>
      </c>
      <c r="D18" s="27"/>
      <c r="E18" s="28">
        <v>1.429</v>
      </c>
      <c r="F18" s="29">
        <v>32</v>
      </c>
      <c r="G18" s="28">
        <v>259.89999999999998</v>
      </c>
      <c r="H18" s="28">
        <v>913</v>
      </c>
      <c r="I18" s="28">
        <v>653</v>
      </c>
      <c r="J18" s="28">
        <f t="shared" si="23"/>
        <v>1.3981623277182236</v>
      </c>
      <c r="K18" s="28">
        <v>20.3</v>
      </c>
      <c r="L18" s="30">
        <f t="shared" si="9"/>
        <v>31.25</v>
      </c>
      <c r="M18" s="31">
        <v>2.4E-2</v>
      </c>
      <c r="N18" s="31">
        <f t="shared" si="1"/>
        <v>0</v>
      </c>
      <c r="O18" s="28">
        <v>90.188000000000002</v>
      </c>
      <c r="P18" s="28">
        <v>6.82</v>
      </c>
      <c r="Q18" s="32">
        <v>0</v>
      </c>
      <c r="R18" s="33">
        <f t="shared" si="10"/>
        <v>0</v>
      </c>
      <c r="S18" s="34">
        <f t="shared" si="11"/>
        <v>0</v>
      </c>
      <c r="T18" s="35">
        <f t="shared" si="2"/>
        <v>0</v>
      </c>
      <c r="U18" s="35">
        <f t="shared" si="3"/>
        <v>0</v>
      </c>
      <c r="V18" s="35">
        <f t="shared" si="4"/>
        <v>0</v>
      </c>
      <c r="W18" s="35">
        <f t="shared" si="5"/>
        <v>179.35254499908916</v>
      </c>
      <c r="X18" s="35" t="str">
        <f t="shared" si="22"/>
        <v/>
      </c>
      <c r="Y18" s="35" t="str">
        <f t="shared" si="12"/>
        <v/>
      </c>
      <c r="Z18" s="35" t="str">
        <f t="shared" si="13"/>
        <v/>
      </c>
      <c r="AA18" s="36" t="str">
        <f t="shared" si="6"/>
        <v/>
      </c>
      <c r="AB18" s="6"/>
      <c r="AC18" s="6" t="str">
        <f t="shared" si="14"/>
        <v>Oxygen</v>
      </c>
      <c r="AD18" s="20">
        <f t="shared" si="15"/>
        <v>0</v>
      </c>
      <c r="AE18" s="6">
        <v>0</v>
      </c>
      <c r="AF18" s="6">
        <f t="shared" si="16"/>
        <v>0</v>
      </c>
      <c r="AG18" s="37">
        <f t="shared" si="17"/>
        <v>1.429</v>
      </c>
      <c r="AH18" s="37">
        <f t="shared" si="18"/>
        <v>0</v>
      </c>
      <c r="AI18" s="37">
        <f t="shared" si="19"/>
        <v>0</v>
      </c>
      <c r="AJ18" s="37">
        <f t="shared" si="20"/>
        <v>0</v>
      </c>
      <c r="AK18" s="6">
        <f>IF(R18&gt;0.01,1,9999)</f>
        <v>9999</v>
      </c>
      <c r="AL18" s="6">
        <f t="shared" si="21"/>
        <v>319968</v>
      </c>
      <c r="AM18" s="6">
        <v>48</v>
      </c>
      <c r="AN18" s="6"/>
      <c r="AO18" s="6"/>
      <c r="AP18" s="6"/>
      <c r="AQ18" s="6"/>
      <c r="AR18" s="6"/>
      <c r="AS18" s="7" t="s">
        <v>89</v>
      </c>
      <c r="AT18" s="22">
        <f t="shared" si="7"/>
        <v>10300.065630858864</v>
      </c>
      <c r="AU18" s="23" t="str">
        <f>AA62</f>
        <v>[m/s]</v>
      </c>
      <c r="AV18" s="12"/>
      <c r="AW18" s="6"/>
    </row>
    <row r="19" spans="1:62">
      <c r="A19" s="7"/>
      <c r="B19" s="41" t="s">
        <v>90</v>
      </c>
      <c r="C19" s="26" t="s">
        <v>91</v>
      </c>
      <c r="D19" s="27"/>
      <c r="E19" s="28">
        <v>3.7080000000000002</v>
      </c>
      <c r="F19" s="29">
        <v>83.7</v>
      </c>
      <c r="G19" s="28">
        <v>100.3</v>
      </c>
      <c r="H19" s="28">
        <v>251</v>
      </c>
      <c r="I19" s="28">
        <v>151</v>
      </c>
      <c r="J19" s="28">
        <f t="shared" si="23"/>
        <v>1.6622516556291391</v>
      </c>
      <c r="K19" s="28">
        <v>23.2</v>
      </c>
      <c r="L19" s="30">
        <f t="shared" si="9"/>
        <v>11.947431302270012</v>
      </c>
      <c r="M19" s="31">
        <v>8.8000000000000005E-3</v>
      </c>
      <c r="N19" s="31">
        <f t="shared" si="1"/>
        <v>55.184800000000003</v>
      </c>
      <c r="O19" s="28">
        <v>119.93</v>
      </c>
      <c r="P19" s="28">
        <v>9.08</v>
      </c>
      <c r="Q19" s="32">
        <v>6271</v>
      </c>
      <c r="R19" s="33">
        <f t="shared" si="10"/>
        <v>0.20069768930423093</v>
      </c>
      <c r="S19" s="34">
        <f t="shared" si="11"/>
        <v>1870.4221852397104</v>
      </c>
      <c r="T19" s="35">
        <f t="shared" si="2"/>
        <v>16.798396594764128</v>
      </c>
      <c r="U19" s="35">
        <f t="shared" si="3"/>
        <v>1684.8791784548421</v>
      </c>
      <c r="V19" s="35">
        <f t="shared" si="4"/>
        <v>0.33361006632690043</v>
      </c>
      <c r="W19" s="35">
        <f t="shared" si="5"/>
        <v>238.21591336544319</v>
      </c>
      <c r="X19" s="35" t="str">
        <f t="shared" si="22"/>
        <v xml:space="preserve"> (Gas)</v>
      </c>
      <c r="Y19" s="35" t="str">
        <f t="shared" si="12"/>
        <v xml:space="preserve"> (Gas)</v>
      </c>
      <c r="Z19" s="35" t="str">
        <f t="shared" si="13"/>
        <v xml:space="preserve"> (Gas)</v>
      </c>
      <c r="AA19" s="36" t="str">
        <f t="shared" si="6"/>
        <v xml:space="preserve"> (Gas)</v>
      </c>
      <c r="AB19" s="6"/>
      <c r="AC19" s="6" t="str">
        <f t="shared" si="14"/>
        <v>Krypton</v>
      </c>
      <c r="AD19" s="20">
        <f t="shared" si="15"/>
        <v>1870.4221852397104</v>
      </c>
      <c r="AE19" s="6">
        <v>0</v>
      </c>
      <c r="AF19" s="6">
        <f t="shared" si="16"/>
        <v>0</v>
      </c>
      <c r="AG19" s="37">
        <f t="shared" si="17"/>
        <v>3.7080000000000002</v>
      </c>
      <c r="AH19" s="37">
        <f t="shared" si="18"/>
        <v>1</v>
      </c>
      <c r="AI19" s="37">
        <f t="shared" si="19"/>
        <v>1</v>
      </c>
      <c r="AJ19" s="37">
        <f t="shared" si="20"/>
        <v>1</v>
      </c>
      <c r="AK19" s="6">
        <f>IF(R19&gt;0.01,1,9999)</f>
        <v>1</v>
      </c>
      <c r="AL19" s="6">
        <f t="shared" si="21"/>
        <v>83.7</v>
      </c>
      <c r="AM19" s="6">
        <v>88</v>
      </c>
      <c r="AN19" s="6"/>
      <c r="AO19" s="6"/>
      <c r="AP19" s="6"/>
      <c r="AQ19" s="6"/>
      <c r="AR19" s="6"/>
      <c r="AS19" s="7"/>
      <c r="AT19" s="6"/>
      <c r="AU19" s="12"/>
      <c r="AV19" s="12"/>
    </row>
    <row r="20" spans="1:62">
      <c r="A20" s="7"/>
      <c r="B20" s="41" t="s">
        <v>92</v>
      </c>
      <c r="C20" s="26" t="s">
        <v>93</v>
      </c>
      <c r="D20" s="27"/>
      <c r="E20" s="28">
        <v>5.851</v>
      </c>
      <c r="F20" s="29">
        <v>131.30000000000001</v>
      </c>
      <c r="G20" s="28">
        <v>63.84</v>
      </c>
      <c r="H20" s="28">
        <v>159</v>
      </c>
      <c r="I20" s="28">
        <v>96.3</v>
      </c>
      <c r="J20" s="28">
        <f t="shared" si="23"/>
        <v>1.6510903426791277</v>
      </c>
      <c r="K20" s="28">
        <v>21</v>
      </c>
      <c r="L20" s="30">
        <f t="shared" si="9"/>
        <v>7.6161462300076153</v>
      </c>
      <c r="M20" s="31">
        <v>5.1000000000000004E-3</v>
      </c>
      <c r="N20" s="31">
        <f t="shared" si="1"/>
        <v>0</v>
      </c>
      <c r="O20" s="28">
        <v>165.05099999999999</v>
      </c>
      <c r="P20" s="28">
        <v>12.64</v>
      </c>
      <c r="Q20" s="32">
        <v>0</v>
      </c>
      <c r="R20" s="33">
        <f t="shared" si="10"/>
        <v>0</v>
      </c>
      <c r="S20" s="34">
        <f t="shared" si="11"/>
        <v>0</v>
      </c>
      <c r="T20" s="35">
        <f t="shared" si="2"/>
        <v>0</v>
      </c>
      <c r="U20" s="35">
        <f t="shared" si="3"/>
        <v>0</v>
      </c>
      <c r="V20" s="35">
        <f t="shared" si="4"/>
        <v>0</v>
      </c>
      <c r="W20" s="35">
        <f t="shared" si="5"/>
        <v>324.20032749250419</v>
      </c>
      <c r="X20" s="35" t="str">
        <f t="shared" si="22"/>
        <v/>
      </c>
      <c r="Y20" s="35" t="str">
        <f t="shared" si="12"/>
        <v/>
      </c>
      <c r="Z20" s="35" t="str">
        <f t="shared" si="13"/>
        <v/>
      </c>
      <c r="AA20" s="36" t="str">
        <f t="shared" si="6"/>
        <v/>
      </c>
      <c r="AB20" s="6"/>
      <c r="AC20" s="6" t="str">
        <f t="shared" si="14"/>
        <v>Xenon</v>
      </c>
      <c r="AD20" s="20">
        <f t="shared" si="15"/>
        <v>0</v>
      </c>
      <c r="AE20" s="6">
        <v>0</v>
      </c>
      <c r="AF20" s="6">
        <f t="shared" si="16"/>
        <v>0</v>
      </c>
      <c r="AG20" s="37">
        <f t="shared" si="17"/>
        <v>5.851</v>
      </c>
      <c r="AH20" s="37">
        <f t="shared" si="18"/>
        <v>1</v>
      </c>
      <c r="AI20" s="37">
        <f t="shared" si="19"/>
        <v>0</v>
      </c>
      <c r="AJ20" s="37">
        <f t="shared" si="20"/>
        <v>0</v>
      </c>
      <c r="AK20" s="6">
        <f>IF(R20&gt;0.01,1,9999)</f>
        <v>9999</v>
      </c>
      <c r="AL20" s="6">
        <f t="shared" si="21"/>
        <v>1312868.7000000002</v>
      </c>
      <c r="AM20" s="6">
        <v>108</v>
      </c>
      <c r="AN20" s="6"/>
      <c r="AO20" s="6"/>
      <c r="AP20" s="6"/>
      <c r="AQ20" s="6"/>
      <c r="AR20" s="6"/>
      <c r="AS20" s="7"/>
      <c r="AT20" s="6"/>
      <c r="AU20" s="12"/>
      <c r="AV20" s="12"/>
    </row>
    <row r="21" spans="1:62">
      <c r="A21" s="7"/>
      <c r="B21" s="41" t="s">
        <v>94</v>
      </c>
      <c r="C21" s="26" t="s">
        <v>95</v>
      </c>
      <c r="D21" s="27"/>
      <c r="E21" s="28">
        <v>0.71699999999999997</v>
      </c>
      <c r="F21" s="29">
        <v>16.03</v>
      </c>
      <c r="G21" s="28">
        <v>518.79999999999995</v>
      </c>
      <c r="H21" s="28">
        <v>2225</v>
      </c>
      <c r="I21" s="28">
        <v>1700</v>
      </c>
      <c r="J21" s="28">
        <f t="shared" si="23"/>
        <v>1.3088235294117647</v>
      </c>
      <c r="K21" s="28">
        <v>10.3</v>
      </c>
      <c r="L21" s="30">
        <f t="shared" si="9"/>
        <v>62.383031815346222</v>
      </c>
      <c r="M21" s="31">
        <v>0.03</v>
      </c>
      <c r="N21" s="31">
        <f t="shared" si="1"/>
        <v>0</v>
      </c>
      <c r="O21" s="28">
        <v>112</v>
      </c>
      <c r="P21" s="28">
        <v>8.17</v>
      </c>
      <c r="Q21" s="32">
        <v>0</v>
      </c>
      <c r="R21" s="33">
        <f t="shared" si="10"/>
        <v>0</v>
      </c>
      <c r="S21" s="34">
        <f t="shared" si="11"/>
        <v>0</v>
      </c>
      <c r="T21" s="35">
        <f t="shared" si="2"/>
        <v>0</v>
      </c>
      <c r="U21" s="35">
        <f t="shared" si="3"/>
        <v>0</v>
      </c>
      <c r="V21" s="35">
        <f t="shared" si="4"/>
        <v>0</v>
      </c>
      <c r="W21" s="35">
        <f t="shared" si="5"/>
        <v>231.10250267321564</v>
      </c>
      <c r="X21" s="35" t="str">
        <f t="shared" si="22"/>
        <v/>
      </c>
      <c r="Y21" s="35" t="str">
        <f t="shared" si="12"/>
        <v/>
      </c>
      <c r="Z21" s="35" t="str">
        <f t="shared" si="13"/>
        <v/>
      </c>
      <c r="AA21" s="36" t="str">
        <f>IF(X21=" (Vapor)"," (Vapor)",IFERROR(IF(OR(Z21=" (Vapor)",Y21=" (Vapor)")=TRUE," (Condensating Gas)",X21),X21))</f>
        <v/>
      </c>
      <c r="AB21" s="6"/>
      <c r="AC21" s="6" t="str">
        <f t="shared" si="14"/>
        <v>Methane</v>
      </c>
      <c r="AD21" s="20">
        <f t="shared" si="15"/>
        <v>0</v>
      </c>
      <c r="AE21" s="6">
        <v>0</v>
      </c>
      <c r="AF21" s="6">
        <f t="shared" si="16"/>
        <v>0</v>
      </c>
      <c r="AG21" s="37">
        <f t="shared" si="17"/>
        <v>0.71699999999999997</v>
      </c>
      <c r="AH21" s="37">
        <f t="shared" si="18"/>
        <v>0</v>
      </c>
      <c r="AI21" s="37">
        <f t="shared" si="19"/>
        <v>0</v>
      </c>
      <c r="AJ21" s="37">
        <f t="shared" si="20"/>
        <v>0</v>
      </c>
      <c r="AK21" s="6">
        <v>10000</v>
      </c>
      <c r="AL21" s="6">
        <f t="shared" si="21"/>
        <v>160300</v>
      </c>
      <c r="AM21" s="6" t="s">
        <v>46</v>
      </c>
      <c r="AN21" s="6"/>
      <c r="AO21" s="6"/>
      <c r="AP21" s="6"/>
      <c r="AQ21" s="6"/>
      <c r="AR21" s="6"/>
      <c r="AS21" s="7"/>
      <c r="AT21" s="6"/>
      <c r="AU21" s="12"/>
      <c r="AV21" s="12"/>
    </row>
    <row r="22" spans="1:62">
      <c r="A22" s="7"/>
      <c r="B22" s="25" t="s">
        <v>96</v>
      </c>
      <c r="C22" s="26" t="s">
        <v>97</v>
      </c>
      <c r="D22" s="27"/>
      <c r="E22" s="28">
        <v>2.3079999999999998</v>
      </c>
      <c r="F22" s="29">
        <v>50.48</v>
      </c>
      <c r="G22" s="28">
        <v>164.8</v>
      </c>
      <c r="H22" s="28">
        <v>741</v>
      </c>
      <c r="I22" s="28">
        <v>582</v>
      </c>
      <c r="J22" s="28">
        <f t="shared" si="23"/>
        <v>1.2731958762886597</v>
      </c>
      <c r="K22" s="28">
        <v>9.89</v>
      </c>
      <c r="L22" s="30">
        <f t="shared" si="9"/>
        <v>19.809825673534075</v>
      </c>
      <c r="M22" s="31">
        <v>1.7000000000000001E-2</v>
      </c>
      <c r="N22" s="31">
        <f t="shared" si="1"/>
        <v>0</v>
      </c>
      <c r="O22" s="28">
        <v>249.3</v>
      </c>
      <c r="P22" s="28">
        <v>22</v>
      </c>
      <c r="Q22" s="32">
        <v>0</v>
      </c>
      <c r="R22" s="33">
        <f t="shared" si="10"/>
        <v>0</v>
      </c>
      <c r="S22" s="34">
        <f t="shared" si="11"/>
        <v>0</v>
      </c>
      <c r="T22" s="35">
        <f t="shared" si="2"/>
        <v>0</v>
      </c>
      <c r="U22" s="35">
        <f t="shared" si="3"/>
        <v>0</v>
      </c>
      <c r="V22" s="35">
        <f t="shared" si="4"/>
        <v>0</v>
      </c>
      <c r="W22" s="35">
        <f t="shared" si="5"/>
        <v>434.32818101143164</v>
      </c>
      <c r="X22" s="35" t="str">
        <f t="shared" si="22"/>
        <v/>
      </c>
      <c r="Y22" s="35" t="str">
        <f t="shared" si="12"/>
        <v/>
      </c>
      <c r="Z22" s="35" t="str">
        <f t="shared" si="13"/>
        <v/>
      </c>
      <c r="AA22" s="36" t="str">
        <f t="shared" si="6"/>
        <v/>
      </c>
      <c r="AB22" s="6"/>
      <c r="AC22" s="6" t="str">
        <f t="shared" si="14"/>
        <v>Methyl Chloride</v>
      </c>
      <c r="AD22" s="20">
        <f t="shared" si="15"/>
        <v>0</v>
      </c>
      <c r="AE22" s="6">
        <v>1</v>
      </c>
      <c r="AF22" s="6">
        <f t="shared" si="16"/>
        <v>0</v>
      </c>
      <c r="AG22" s="37">
        <f t="shared" si="17"/>
        <v>2.3079999999999998</v>
      </c>
      <c r="AH22" s="37">
        <f t="shared" si="18"/>
        <v>1</v>
      </c>
      <c r="AI22" s="37">
        <f t="shared" si="19"/>
        <v>0</v>
      </c>
      <c r="AJ22" s="37">
        <f t="shared" si="20"/>
        <v>0</v>
      </c>
      <c r="AK22" s="6">
        <v>10000</v>
      </c>
      <c r="AL22" s="6">
        <f t="shared" si="21"/>
        <v>504799.99999999994</v>
      </c>
      <c r="AM22" s="6" t="s">
        <v>46</v>
      </c>
      <c r="AN22" s="6"/>
      <c r="AO22" s="6"/>
      <c r="AP22" s="6"/>
      <c r="AQ22" s="6"/>
      <c r="AR22" s="6"/>
      <c r="AS22" s="7"/>
      <c r="AT22" s="6"/>
      <c r="AU22" s="12"/>
      <c r="AV22" s="12"/>
    </row>
    <row r="23" spans="1:62">
      <c r="A23" s="7"/>
      <c r="B23" s="41" t="s">
        <v>98</v>
      </c>
      <c r="C23" s="26" t="s">
        <v>99</v>
      </c>
      <c r="D23" s="27"/>
      <c r="E23" s="28">
        <v>0.9002</v>
      </c>
      <c r="F23" s="29">
        <v>20.18</v>
      </c>
      <c r="G23" s="28">
        <v>411.7</v>
      </c>
      <c r="H23" s="28">
        <v>1038</v>
      </c>
      <c r="I23" s="28">
        <v>620</v>
      </c>
      <c r="J23" s="28">
        <f t="shared" si="23"/>
        <v>1.6741935483870967</v>
      </c>
      <c r="K23" s="28">
        <v>29.7</v>
      </c>
      <c r="L23" s="30">
        <f t="shared" si="9"/>
        <v>49.554013875123886</v>
      </c>
      <c r="M23" s="31">
        <v>4.5999999999999999E-2</v>
      </c>
      <c r="N23" s="31">
        <f t="shared" si="1"/>
        <v>0</v>
      </c>
      <c r="O23" s="28">
        <v>27.103999999999999</v>
      </c>
      <c r="P23" s="28">
        <v>1.71</v>
      </c>
      <c r="Q23" s="32">
        <v>0</v>
      </c>
      <c r="R23" s="33">
        <f t="shared" si="10"/>
        <v>0</v>
      </c>
      <c r="S23" s="34">
        <f t="shared" si="11"/>
        <v>0</v>
      </c>
      <c r="T23" s="35">
        <f t="shared" si="2"/>
        <v>0</v>
      </c>
      <c r="U23" s="35">
        <f t="shared" si="3"/>
        <v>0</v>
      </c>
      <c r="V23" s="35">
        <f t="shared" si="4"/>
        <v>0</v>
      </c>
      <c r="W23" s="35">
        <f t="shared" si="5"/>
        <v>67.068900848617147</v>
      </c>
      <c r="X23" s="35" t="str">
        <f t="shared" si="22"/>
        <v/>
      </c>
      <c r="Y23" s="35" t="str">
        <f t="shared" si="12"/>
        <v/>
      </c>
      <c r="Z23" s="35" t="str">
        <f t="shared" si="13"/>
        <v/>
      </c>
      <c r="AA23" s="36" t="str">
        <f t="shared" si="6"/>
        <v/>
      </c>
      <c r="AB23" s="6"/>
      <c r="AC23" s="6" t="str">
        <f t="shared" si="14"/>
        <v>Neon</v>
      </c>
      <c r="AD23" s="20">
        <f t="shared" si="15"/>
        <v>0</v>
      </c>
      <c r="AE23" s="6">
        <v>0</v>
      </c>
      <c r="AF23" s="6">
        <f t="shared" si="16"/>
        <v>0</v>
      </c>
      <c r="AG23" s="37">
        <f t="shared" si="17"/>
        <v>0.9002</v>
      </c>
      <c r="AH23" s="37">
        <f t="shared" si="18"/>
        <v>0</v>
      </c>
      <c r="AI23" s="37">
        <f t="shared" si="19"/>
        <v>0</v>
      </c>
      <c r="AJ23" s="37">
        <f t="shared" si="20"/>
        <v>0</v>
      </c>
      <c r="AK23" s="6">
        <f>IF(R23&gt;0.01,1,9999)</f>
        <v>9999</v>
      </c>
      <c r="AL23" s="6">
        <f t="shared" si="21"/>
        <v>201779.82</v>
      </c>
      <c r="AM23" s="6">
        <v>56</v>
      </c>
      <c r="AN23" s="6"/>
      <c r="AO23" s="6"/>
      <c r="AP23" s="6"/>
      <c r="AQ23" s="6"/>
      <c r="AR23" s="6"/>
      <c r="AS23" s="7"/>
      <c r="AT23" s="6"/>
      <c r="AU23" s="12"/>
      <c r="AV23" s="12"/>
    </row>
    <row r="24" spans="1:62">
      <c r="A24" s="7"/>
      <c r="B24" s="41" t="s">
        <v>100</v>
      </c>
      <c r="C24" s="26" t="s">
        <v>101</v>
      </c>
      <c r="D24" s="27"/>
      <c r="E24" s="28">
        <v>2.2200000000000002</v>
      </c>
      <c r="F24" s="29">
        <v>48</v>
      </c>
      <c r="G24" s="28">
        <v>173.4</v>
      </c>
      <c r="H24" s="28">
        <v>1000</v>
      </c>
      <c r="I24" s="28" t="s">
        <v>73</v>
      </c>
      <c r="J24" s="28">
        <v>1.29</v>
      </c>
      <c r="K24" s="28" t="s">
        <v>73</v>
      </c>
      <c r="L24" s="30">
        <f t="shared" si="9"/>
        <v>20.833333333333332</v>
      </c>
      <c r="M24" s="31">
        <v>1.7999999999999999E-2</v>
      </c>
      <c r="N24" s="31">
        <f t="shared" si="1"/>
        <v>0</v>
      </c>
      <c r="O24" s="28">
        <v>161</v>
      </c>
      <c r="P24" s="28">
        <v>15</v>
      </c>
      <c r="Q24" s="32">
        <v>0</v>
      </c>
      <c r="R24" s="33">
        <f t="shared" si="10"/>
        <v>0</v>
      </c>
      <c r="S24" s="34">
        <f t="shared" si="11"/>
        <v>0</v>
      </c>
      <c r="T24" s="35">
        <f t="shared" si="2"/>
        <v>0</v>
      </c>
      <c r="U24" s="35">
        <f t="shared" si="3"/>
        <v>0</v>
      </c>
      <c r="V24" s="35">
        <f t="shared" si="4"/>
        <v>0</v>
      </c>
      <c r="W24" s="35">
        <f t="shared" si="5"/>
        <v>269.91256738188224</v>
      </c>
      <c r="X24" s="35" t="str">
        <f t="shared" si="22"/>
        <v/>
      </c>
      <c r="Y24" s="35" t="str">
        <f t="shared" si="12"/>
        <v/>
      </c>
      <c r="Z24" s="35" t="str">
        <f t="shared" si="13"/>
        <v/>
      </c>
      <c r="AA24" s="36" t="str">
        <f t="shared" si="6"/>
        <v/>
      </c>
      <c r="AB24" s="6"/>
      <c r="AC24" s="6" t="str">
        <f t="shared" si="14"/>
        <v>Ozone</v>
      </c>
      <c r="AD24" s="20">
        <f t="shared" si="15"/>
        <v>0</v>
      </c>
      <c r="AE24" s="6">
        <v>0</v>
      </c>
      <c r="AF24" s="6">
        <f t="shared" si="16"/>
        <v>0</v>
      </c>
      <c r="AG24" s="37">
        <f t="shared" si="17"/>
        <v>2.2200000000000002</v>
      </c>
      <c r="AH24" s="37">
        <f t="shared" si="18"/>
        <v>1</v>
      </c>
      <c r="AI24" s="37">
        <f t="shared" si="19"/>
        <v>0</v>
      </c>
      <c r="AJ24" s="37">
        <f t="shared" si="20"/>
        <v>0</v>
      </c>
      <c r="AK24" s="6">
        <f>IF(R24&gt;0.01,1,9999)</f>
        <v>9999</v>
      </c>
      <c r="AL24" s="6">
        <f t="shared" si="21"/>
        <v>479952</v>
      </c>
      <c r="AM24" s="6">
        <v>48</v>
      </c>
      <c r="AN24" s="6"/>
      <c r="AO24" s="6"/>
      <c r="AP24" s="6"/>
      <c r="AQ24" s="6"/>
      <c r="AR24" s="6"/>
      <c r="AS24" s="7"/>
      <c r="AT24" s="6"/>
      <c r="AU24" s="12"/>
      <c r="AV24" s="12"/>
    </row>
    <row r="25" spans="1:62">
      <c r="A25" s="7"/>
      <c r="B25" s="41" t="s">
        <v>102</v>
      </c>
      <c r="C25" s="26" t="s">
        <v>103</v>
      </c>
      <c r="D25" s="27"/>
      <c r="E25" s="28">
        <v>0.626</v>
      </c>
      <c r="F25" s="29">
        <v>72.099999999999994</v>
      </c>
      <c r="G25" s="28">
        <v>115.2</v>
      </c>
      <c r="H25" s="28">
        <v>1717</v>
      </c>
      <c r="I25" s="28">
        <v>1575</v>
      </c>
      <c r="J25" s="28">
        <f t="shared" si="23"/>
        <v>1.0901587301587301</v>
      </c>
      <c r="K25" s="28">
        <v>8.74</v>
      </c>
      <c r="L25" s="30">
        <f t="shared" si="9"/>
        <v>13.869625520110958</v>
      </c>
      <c r="M25" s="31">
        <v>1.4999999999999999E-2</v>
      </c>
      <c r="N25" s="31">
        <f t="shared" si="1"/>
        <v>0</v>
      </c>
      <c r="O25" s="28">
        <v>309.39999999999998</v>
      </c>
      <c r="P25" s="28">
        <v>26.7</v>
      </c>
      <c r="Q25" s="32">
        <v>0</v>
      </c>
      <c r="R25" s="33">
        <f t="shared" si="10"/>
        <v>0</v>
      </c>
      <c r="S25" s="34">
        <f t="shared" si="11"/>
        <v>0</v>
      </c>
      <c r="T25" s="35">
        <f t="shared" si="2"/>
        <v>0</v>
      </c>
      <c r="U25" s="35">
        <f t="shared" si="3"/>
        <v>0</v>
      </c>
      <c r="V25" s="35">
        <f t="shared" si="4"/>
        <v>0</v>
      </c>
      <c r="W25" s="35">
        <f t="shared" si="5"/>
        <v>548.23315623557335</v>
      </c>
      <c r="X25" s="35" t="str">
        <f t="shared" si="22"/>
        <v/>
      </c>
      <c r="Y25" s="35" t="str">
        <f t="shared" si="12"/>
        <v/>
      </c>
      <c r="Z25" s="35" t="str">
        <f t="shared" si="13"/>
        <v/>
      </c>
      <c r="AA25" s="36" t="str">
        <f t="shared" si="6"/>
        <v/>
      </c>
      <c r="AB25" s="6"/>
      <c r="AC25" s="6" t="str">
        <f t="shared" si="14"/>
        <v>Pentane</v>
      </c>
      <c r="AD25" s="20">
        <f t="shared" si="15"/>
        <v>0</v>
      </c>
      <c r="AE25" s="6">
        <v>1</v>
      </c>
      <c r="AF25" s="6">
        <f t="shared" si="16"/>
        <v>0</v>
      </c>
      <c r="AG25" s="37">
        <f t="shared" si="17"/>
        <v>0.626</v>
      </c>
      <c r="AH25" s="37">
        <f t="shared" si="18"/>
        <v>0</v>
      </c>
      <c r="AI25" s="37">
        <f t="shared" si="19"/>
        <v>0</v>
      </c>
      <c r="AJ25" s="37">
        <f t="shared" si="20"/>
        <v>0</v>
      </c>
      <c r="AK25" s="6">
        <v>10000</v>
      </c>
      <c r="AL25" s="6">
        <f t="shared" si="21"/>
        <v>721000</v>
      </c>
      <c r="AM25" s="20" t="s">
        <v>46</v>
      </c>
      <c r="AN25" s="6"/>
      <c r="AO25" s="6"/>
      <c r="AP25" s="6"/>
      <c r="AQ25" s="6"/>
      <c r="AR25" s="6"/>
      <c r="AS25" s="7"/>
      <c r="AT25" s="6"/>
      <c r="AU25" s="12"/>
      <c r="AV25" s="12"/>
    </row>
    <row r="26" spans="1:62">
      <c r="A26" s="7"/>
      <c r="B26" s="41" t="s">
        <v>104</v>
      </c>
      <c r="C26" s="26" t="s">
        <v>105</v>
      </c>
      <c r="D26" s="27"/>
      <c r="E26" s="28">
        <v>2.02</v>
      </c>
      <c r="F26" s="29">
        <v>44.06</v>
      </c>
      <c r="G26" s="28">
        <v>188.8</v>
      </c>
      <c r="H26" s="28">
        <v>1863</v>
      </c>
      <c r="I26" s="28">
        <v>1650</v>
      </c>
      <c r="J26" s="28">
        <f t="shared" si="23"/>
        <v>1.1290909090909091</v>
      </c>
      <c r="K26" s="28">
        <v>7.95</v>
      </c>
      <c r="L26" s="30">
        <f t="shared" si="9"/>
        <v>22.696323195642304</v>
      </c>
      <c r="M26" s="31">
        <v>1.4999999999999999E-2</v>
      </c>
      <c r="N26" s="31">
        <f t="shared" si="1"/>
        <v>0</v>
      </c>
      <c r="O26" s="28">
        <v>231</v>
      </c>
      <c r="P26" s="28">
        <v>15.7</v>
      </c>
      <c r="Q26" s="32">
        <v>0</v>
      </c>
      <c r="R26" s="33">
        <f t="shared" si="10"/>
        <v>0</v>
      </c>
      <c r="S26" s="34">
        <f t="shared" si="11"/>
        <v>0</v>
      </c>
      <c r="T26" s="35">
        <f t="shared" si="2"/>
        <v>0</v>
      </c>
      <c r="U26" s="35">
        <f t="shared" si="3"/>
        <v>0</v>
      </c>
      <c r="V26" s="35">
        <f t="shared" si="4"/>
        <v>0</v>
      </c>
      <c r="W26" s="35">
        <f t="shared" si="5"/>
        <v>516.93679642956306</v>
      </c>
      <c r="X26" s="35" t="str">
        <f t="shared" si="22"/>
        <v/>
      </c>
      <c r="Y26" s="35" t="str">
        <f t="shared" si="12"/>
        <v/>
      </c>
      <c r="Z26" s="35" t="str">
        <f t="shared" si="13"/>
        <v/>
      </c>
      <c r="AA26" s="36" t="str">
        <f t="shared" si="6"/>
        <v/>
      </c>
      <c r="AB26" s="6"/>
      <c r="AC26" s="6" t="str">
        <f t="shared" si="14"/>
        <v>Propane</v>
      </c>
      <c r="AD26" s="20">
        <f t="shared" si="15"/>
        <v>0</v>
      </c>
      <c r="AE26" s="6">
        <v>0</v>
      </c>
      <c r="AF26" s="6">
        <f t="shared" si="16"/>
        <v>0</v>
      </c>
      <c r="AG26" s="37">
        <f t="shared" si="17"/>
        <v>2.02</v>
      </c>
      <c r="AH26" s="37">
        <f t="shared" si="18"/>
        <v>1</v>
      </c>
      <c r="AI26" s="37">
        <f t="shared" si="19"/>
        <v>0</v>
      </c>
      <c r="AJ26" s="37">
        <f t="shared" si="20"/>
        <v>0</v>
      </c>
      <c r="AK26" s="6">
        <v>10000</v>
      </c>
      <c r="AL26" s="6">
        <f t="shared" si="21"/>
        <v>440600</v>
      </c>
      <c r="AM26" s="20" t="s">
        <v>46</v>
      </c>
      <c r="AN26" s="6"/>
      <c r="AO26" s="6"/>
      <c r="AP26" s="6"/>
      <c r="AQ26" s="6"/>
      <c r="AR26" s="6"/>
      <c r="AS26" s="7"/>
      <c r="AT26" s="6"/>
      <c r="AU26" s="12"/>
      <c r="AV26" s="12"/>
      <c r="BC26" s="52"/>
    </row>
    <row r="27" spans="1:62">
      <c r="A27" s="7"/>
      <c r="B27" s="41" t="s">
        <v>106</v>
      </c>
      <c r="C27" s="26" t="s">
        <v>107</v>
      </c>
      <c r="D27" s="27"/>
      <c r="E27" s="28">
        <v>1.9139999999999999</v>
      </c>
      <c r="F27" s="29">
        <v>42.05</v>
      </c>
      <c r="G27" s="28">
        <v>198.8</v>
      </c>
      <c r="H27" s="28">
        <v>1635</v>
      </c>
      <c r="I27" s="28">
        <v>1437</v>
      </c>
      <c r="J27" s="28">
        <f t="shared" si="23"/>
        <v>1.1377870563674322</v>
      </c>
      <c r="K27" s="28">
        <v>8.35</v>
      </c>
      <c r="L27" s="30">
        <f t="shared" si="9"/>
        <v>23.781212841854934</v>
      </c>
      <c r="M27" s="31">
        <v>1.4999999999999999E-2</v>
      </c>
      <c r="N27" s="31">
        <f t="shared" si="1"/>
        <v>0</v>
      </c>
      <c r="O27" s="28">
        <v>225.6</v>
      </c>
      <c r="P27" s="28">
        <v>81.73</v>
      </c>
      <c r="Q27" s="32">
        <v>0</v>
      </c>
      <c r="R27" s="33">
        <f t="shared" si="10"/>
        <v>0</v>
      </c>
      <c r="S27" s="34">
        <f t="shared" si="11"/>
        <v>0</v>
      </c>
      <c r="T27" s="35">
        <f t="shared" si="2"/>
        <v>0</v>
      </c>
      <c r="U27" s="35">
        <f t="shared" si="3"/>
        <v>0</v>
      </c>
      <c r="V27" s="35">
        <f t="shared" si="4"/>
        <v>0</v>
      </c>
      <c r="W27" s="35">
        <f t="shared" si="5"/>
        <v>251.72150454766685</v>
      </c>
      <c r="X27" s="35" t="str">
        <f t="shared" si="22"/>
        <v/>
      </c>
      <c r="Y27" s="35" t="str">
        <f t="shared" si="12"/>
        <v/>
      </c>
      <c r="Z27" s="35" t="str">
        <f t="shared" si="13"/>
        <v/>
      </c>
      <c r="AA27" s="36" t="str">
        <f t="shared" si="6"/>
        <v/>
      </c>
      <c r="AB27" s="6"/>
      <c r="AC27" s="6" t="str">
        <f t="shared" si="14"/>
        <v>Propene</v>
      </c>
      <c r="AD27" s="20">
        <f t="shared" si="15"/>
        <v>0</v>
      </c>
      <c r="AE27" s="6">
        <v>0</v>
      </c>
      <c r="AF27" s="6">
        <f t="shared" si="16"/>
        <v>0</v>
      </c>
      <c r="AG27" s="37">
        <f t="shared" si="17"/>
        <v>1.9139999999999999</v>
      </c>
      <c r="AH27" s="37">
        <f t="shared" si="18"/>
        <v>1</v>
      </c>
      <c r="AI27" s="37">
        <f t="shared" si="19"/>
        <v>0</v>
      </c>
      <c r="AJ27" s="37">
        <f t="shared" si="20"/>
        <v>0</v>
      </c>
      <c r="AK27" s="6">
        <v>10000</v>
      </c>
      <c r="AL27" s="6">
        <f t="shared" si="21"/>
        <v>420500</v>
      </c>
      <c r="AM27" s="20" t="s">
        <v>46</v>
      </c>
      <c r="AN27" s="6"/>
      <c r="AO27" s="6"/>
      <c r="AP27" s="6"/>
      <c r="AQ27" s="6"/>
      <c r="AR27" s="6"/>
      <c r="AS27" s="53"/>
      <c r="AT27" s="54"/>
      <c r="AU27" s="55"/>
      <c r="AV27" s="12"/>
    </row>
    <row r="28" spans="1:62">
      <c r="A28" s="7"/>
      <c r="B28" s="41" t="s">
        <v>108</v>
      </c>
      <c r="C28" s="26" t="s">
        <v>109</v>
      </c>
      <c r="D28" s="27"/>
      <c r="E28" s="28">
        <v>2.927</v>
      </c>
      <c r="F28" s="29">
        <v>64.06</v>
      </c>
      <c r="G28" s="28">
        <v>129.80000000000001</v>
      </c>
      <c r="H28" s="28">
        <v>633</v>
      </c>
      <c r="I28" s="28">
        <v>503</v>
      </c>
      <c r="J28" s="28">
        <f t="shared" si="23"/>
        <v>1.2584493041749503</v>
      </c>
      <c r="K28" s="28">
        <v>11.7</v>
      </c>
      <c r="L28" s="30">
        <f t="shared" si="9"/>
        <v>15.610365282547612</v>
      </c>
      <c r="M28" s="31">
        <v>8.6E-3</v>
      </c>
      <c r="N28" s="31">
        <f t="shared" si="1"/>
        <v>0</v>
      </c>
      <c r="O28" s="28">
        <v>263</v>
      </c>
      <c r="P28" s="28">
        <v>24.9</v>
      </c>
      <c r="Q28" s="32">
        <v>0</v>
      </c>
      <c r="R28" s="33">
        <f t="shared" si="10"/>
        <v>0</v>
      </c>
      <c r="S28" s="34">
        <f t="shared" si="11"/>
        <v>0</v>
      </c>
      <c r="T28" s="35">
        <f t="shared" si="2"/>
        <v>0</v>
      </c>
      <c r="U28" s="35">
        <f t="shared" si="3"/>
        <v>0</v>
      </c>
      <c r="V28" s="35">
        <f t="shared" si="4"/>
        <v>0</v>
      </c>
      <c r="W28" s="35">
        <f t="shared" si="5"/>
        <v>436.20955660609894</v>
      </c>
      <c r="X28" s="35" t="str">
        <f t="shared" si="22"/>
        <v/>
      </c>
      <c r="Y28" s="35" t="str">
        <f t="shared" si="12"/>
        <v/>
      </c>
      <c r="Z28" s="35" t="str">
        <f t="shared" si="13"/>
        <v/>
      </c>
      <c r="AA28" s="36" t="str">
        <f t="shared" si="6"/>
        <v/>
      </c>
      <c r="AB28" s="6"/>
      <c r="AC28" s="6" t="str">
        <f t="shared" si="14"/>
        <v>Sulphur Dioxide</v>
      </c>
      <c r="AD28" s="20">
        <f t="shared" si="15"/>
        <v>0</v>
      </c>
      <c r="AE28" s="6">
        <v>1</v>
      </c>
      <c r="AF28" s="6">
        <f t="shared" si="16"/>
        <v>0</v>
      </c>
      <c r="AG28" s="37">
        <f t="shared" si="17"/>
        <v>2.927</v>
      </c>
      <c r="AH28" s="37">
        <f t="shared" si="18"/>
        <v>1</v>
      </c>
      <c r="AI28" s="37">
        <f t="shared" si="19"/>
        <v>0</v>
      </c>
      <c r="AJ28" s="37">
        <f t="shared" si="20"/>
        <v>0</v>
      </c>
      <c r="AK28" s="6">
        <v>10000</v>
      </c>
      <c r="AL28" s="6">
        <f t="shared" si="21"/>
        <v>640600</v>
      </c>
      <c r="AM28" s="20" t="s">
        <v>46</v>
      </c>
      <c r="AN28" s="6"/>
      <c r="AO28" s="6"/>
      <c r="AP28" s="6"/>
      <c r="AQ28" s="6"/>
      <c r="AR28" s="6"/>
      <c r="AS28" s="53"/>
      <c r="AT28" s="54"/>
      <c r="AU28" s="55"/>
      <c r="AV28" s="12"/>
      <c r="BI28" s="51" t="s">
        <v>110</v>
      </c>
      <c r="BJ28" s="51">
        <v>2</v>
      </c>
    </row>
    <row r="29" spans="1:62">
      <c r="A29" s="7"/>
      <c r="B29" s="41" t="s">
        <v>111</v>
      </c>
      <c r="C29" s="26" t="s">
        <v>112</v>
      </c>
      <c r="D29" s="27"/>
      <c r="E29" s="28">
        <v>1.5389999999999999</v>
      </c>
      <c r="F29" s="29">
        <v>34.090000000000003</v>
      </c>
      <c r="G29" s="28">
        <v>244.2</v>
      </c>
      <c r="H29" s="28">
        <v>1059</v>
      </c>
      <c r="I29" s="28">
        <v>804</v>
      </c>
      <c r="J29" s="28">
        <f t="shared" si="23"/>
        <v>1.3171641791044777</v>
      </c>
      <c r="K29" s="28">
        <v>11.66</v>
      </c>
      <c r="L29" s="30">
        <f t="shared" si="9"/>
        <v>29.334115576415368</v>
      </c>
      <c r="M29" s="31">
        <v>1.4E-2</v>
      </c>
      <c r="N29" s="31">
        <f t="shared" si="1"/>
        <v>0</v>
      </c>
      <c r="O29" s="28">
        <v>213</v>
      </c>
      <c r="P29" s="28">
        <v>18.600000000000001</v>
      </c>
      <c r="Q29" s="32">
        <v>0</v>
      </c>
      <c r="R29" s="33">
        <f t="shared" si="10"/>
        <v>0</v>
      </c>
      <c r="S29" s="34">
        <f t="shared" si="11"/>
        <v>0</v>
      </c>
      <c r="T29" s="35">
        <f t="shared" si="2"/>
        <v>0</v>
      </c>
      <c r="U29" s="35">
        <f t="shared" si="3"/>
        <v>0</v>
      </c>
      <c r="V29" s="35">
        <f t="shared" si="4"/>
        <v>0</v>
      </c>
      <c r="W29" s="35">
        <f t="shared" si="5"/>
        <v>374.02126001767999</v>
      </c>
      <c r="X29" s="35" t="str">
        <f t="shared" si="22"/>
        <v/>
      </c>
      <c r="Y29" s="35" t="str">
        <f t="shared" si="12"/>
        <v/>
      </c>
      <c r="Z29" s="35" t="str">
        <f t="shared" si="13"/>
        <v/>
      </c>
      <c r="AA29" s="36" t="str">
        <f t="shared" si="6"/>
        <v/>
      </c>
      <c r="AB29" s="6"/>
      <c r="AC29" s="6" t="str">
        <f t="shared" si="14"/>
        <v>Sulphur Hydrogen</v>
      </c>
      <c r="AD29" s="20">
        <f t="shared" si="15"/>
        <v>0</v>
      </c>
      <c r="AE29" s="6">
        <v>2</v>
      </c>
      <c r="AF29" s="6">
        <f t="shared" si="16"/>
        <v>0</v>
      </c>
      <c r="AG29" s="37">
        <f t="shared" si="17"/>
        <v>1.5389999999999999</v>
      </c>
      <c r="AH29" s="37">
        <f t="shared" si="18"/>
        <v>1</v>
      </c>
      <c r="AI29" s="37">
        <f t="shared" si="19"/>
        <v>0</v>
      </c>
      <c r="AJ29" s="37">
        <f t="shared" si="20"/>
        <v>0</v>
      </c>
      <c r="AK29" s="6">
        <v>10000</v>
      </c>
      <c r="AL29" s="6">
        <f t="shared" si="21"/>
        <v>340900.00000000006</v>
      </c>
      <c r="AM29" s="20" t="s">
        <v>46</v>
      </c>
      <c r="AN29" s="6"/>
      <c r="AO29" s="6"/>
      <c r="AP29" s="6"/>
      <c r="AQ29" s="6"/>
      <c r="AR29" s="6"/>
      <c r="AS29" s="53"/>
      <c r="AT29" s="54"/>
      <c r="AU29" s="55"/>
      <c r="AV29" s="12"/>
      <c r="BC29" s="52"/>
      <c r="BI29" s="51" t="s">
        <v>113</v>
      </c>
      <c r="BJ29" s="51">
        <v>2</v>
      </c>
    </row>
    <row r="30" spans="1:62">
      <c r="A30" s="7"/>
      <c r="B30" s="41" t="s">
        <v>114</v>
      </c>
      <c r="C30" s="26" t="s">
        <v>115</v>
      </c>
      <c r="D30" s="27"/>
      <c r="E30" s="28">
        <v>1.976</v>
      </c>
      <c r="F30" s="29">
        <v>44.01</v>
      </c>
      <c r="G30" s="28">
        <v>189</v>
      </c>
      <c r="H30" s="28">
        <v>837</v>
      </c>
      <c r="I30" s="28">
        <v>653</v>
      </c>
      <c r="J30" s="28">
        <f t="shared" si="23"/>
        <v>1.2817764165390506</v>
      </c>
      <c r="K30" s="28">
        <v>13.7</v>
      </c>
      <c r="L30" s="30">
        <f t="shared" si="9"/>
        <v>22.722108611679165</v>
      </c>
      <c r="M30" s="31">
        <v>1.46E-2</v>
      </c>
      <c r="N30" s="31">
        <f t="shared" si="1"/>
        <v>146</v>
      </c>
      <c r="O30" s="28">
        <v>216.6</v>
      </c>
      <c r="P30" s="28">
        <v>16.5</v>
      </c>
      <c r="Q30" s="32">
        <v>10000</v>
      </c>
      <c r="R30" s="33">
        <f>Q30/$Q$34</f>
        <v>0.32004096524355119</v>
      </c>
      <c r="S30" s="34">
        <f t="shared" si="11"/>
        <v>2982.6537796837997</v>
      </c>
      <c r="T30" s="35">
        <f t="shared" si="2"/>
        <v>14.085002880368688</v>
      </c>
      <c r="U30" s="35">
        <f t="shared" si="3"/>
        <v>2662.0655443896821</v>
      </c>
      <c r="V30" s="35">
        <f t="shared" si="4"/>
        <v>0.41022096157557791</v>
      </c>
      <c r="W30" s="35">
        <f t="shared" si="5"/>
        <v>427.64798562767169</v>
      </c>
      <c r="X30" s="35" t="str">
        <f t="shared" si="22"/>
        <v xml:space="preserve"> (Gas)</v>
      </c>
      <c r="Y30" s="35" t="str">
        <f t="shared" si="12"/>
        <v xml:space="preserve"> (Gas)</v>
      </c>
      <c r="Z30" s="35" t="str">
        <f t="shared" si="13"/>
        <v xml:space="preserve"> (Gas)</v>
      </c>
      <c r="AA30" s="36" t="str">
        <f t="shared" si="6"/>
        <v xml:space="preserve"> (Gas)</v>
      </c>
      <c r="AB30" s="6"/>
      <c r="AC30" s="6" t="str">
        <f t="shared" si="14"/>
        <v>Carbon Dioxide</v>
      </c>
      <c r="AD30" s="20">
        <f t="shared" si="15"/>
        <v>2982.6537796837997</v>
      </c>
      <c r="AE30" s="6">
        <v>0</v>
      </c>
      <c r="AF30" s="6">
        <f t="shared" si="16"/>
        <v>0</v>
      </c>
      <c r="AG30" s="37">
        <f t="shared" si="17"/>
        <v>1.976</v>
      </c>
      <c r="AH30" s="37">
        <f t="shared" si="18"/>
        <v>1</v>
      </c>
      <c r="AI30" s="37">
        <f t="shared" si="19"/>
        <v>1</v>
      </c>
      <c r="AJ30" s="37">
        <f t="shared" si="20"/>
        <v>1</v>
      </c>
      <c r="AK30" s="6">
        <v>10000</v>
      </c>
      <c r="AL30" s="6">
        <f t="shared" si="21"/>
        <v>440100</v>
      </c>
      <c r="AM30" s="20" t="s">
        <v>46</v>
      </c>
      <c r="AN30" s="6"/>
      <c r="AO30" s="6"/>
      <c r="AP30" s="6"/>
      <c r="AQ30" s="6"/>
      <c r="AR30" s="6"/>
      <c r="AS30" s="53"/>
      <c r="AT30" s="54"/>
      <c r="AU30" s="55"/>
      <c r="AV30" s="12"/>
      <c r="BJ30" s="51" t="e">
        <f>ABS(((BJ28/BJ29-1)^-1)*(BJ28/BJ29))</f>
        <v>#DIV/0!</v>
      </c>
    </row>
    <row r="31" spans="1:62">
      <c r="A31" s="7"/>
      <c r="B31" s="41" t="s">
        <v>116</v>
      </c>
      <c r="C31" s="26" t="s">
        <v>117</v>
      </c>
      <c r="D31" s="27"/>
      <c r="E31" s="28">
        <v>1.25</v>
      </c>
      <c r="F31" s="29">
        <v>28.01</v>
      </c>
      <c r="G31" s="28">
        <v>297</v>
      </c>
      <c r="H31" s="28">
        <v>1047</v>
      </c>
      <c r="I31" s="28">
        <v>754</v>
      </c>
      <c r="J31" s="28">
        <f t="shared" si="23"/>
        <v>1.3885941644562334</v>
      </c>
      <c r="K31" s="28">
        <v>16.600000000000001</v>
      </c>
      <c r="L31" s="30">
        <f t="shared" si="9"/>
        <v>35.701535166012135</v>
      </c>
      <c r="M31" s="31">
        <v>2.3199999999999998E-2</v>
      </c>
      <c r="N31" s="31">
        <f t="shared" si="1"/>
        <v>0</v>
      </c>
      <c r="O31" s="28">
        <v>81.599999999999994</v>
      </c>
      <c r="P31" s="28">
        <v>6</v>
      </c>
      <c r="Q31" s="32">
        <v>0</v>
      </c>
      <c r="R31" s="33">
        <f t="shared" si="10"/>
        <v>0</v>
      </c>
      <c r="S31" s="34">
        <f t="shared" si="11"/>
        <v>0</v>
      </c>
      <c r="T31" s="35">
        <f t="shared" si="2"/>
        <v>0</v>
      </c>
      <c r="U31" s="35">
        <f t="shared" si="3"/>
        <v>0</v>
      </c>
      <c r="V31" s="35">
        <f t="shared" si="4"/>
        <v>0</v>
      </c>
      <c r="W31" s="35">
        <f t="shared" si="5"/>
        <v>166.96692172773234</v>
      </c>
      <c r="X31" s="35" t="str">
        <f t="shared" si="22"/>
        <v/>
      </c>
      <c r="Y31" s="35" t="str">
        <f t="shared" si="12"/>
        <v/>
      </c>
      <c r="Z31" s="35" t="str">
        <f>IF(R31&gt;0,IF(W31&lt;$Z$3," (Gas)"," (Vapor)"),"")</f>
        <v/>
      </c>
      <c r="AA31" s="36" t="str">
        <f t="shared" si="6"/>
        <v/>
      </c>
      <c r="AB31" s="6"/>
      <c r="AC31" s="6" t="str">
        <f t="shared" si="14"/>
        <v>Carbon Monoxide</v>
      </c>
      <c r="AD31" s="20">
        <f t="shared" si="15"/>
        <v>0</v>
      </c>
      <c r="AE31" s="6">
        <v>2</v>
      </c>
      <c r="AF31" s="6">
        <f t="shared" si="16"/>
        <v>0</v>
      </c>
      <c r="AG31" s="37">
        <f t="shared" si="17"/>
        <v>1.25</v>
      </c>
      <c r="AH31" s="37">
        <f t="shared" si="18"/>
        <v>0</v>
      </c>
      <c r="AI31" s="37">
        <f t="shared" si="19"/>
        <v>0</v>
      </c>
      <c r="AJ31" s="37">
        <f t="shared" si="20"/>
        <v>0</v>
      </c>
      <c r="AK31" s="6">
        <v>10000</v>
      </c>
      <c r="AL31" s="6">
        <f t="shared" si="21"/>
        <v>280100</v>
      </c>
      <c r="AM31" s="20" t="s">
        <v>46</v>
      </c>
      <c r="AN31" s="6"/>
      <c r="AO31" s="6"/>
      <c r="AP31" s="6"/>
      <c r="AQ31" s="6"/>
      <c r="AR31" s="6"/>
      <c r="AS31" s="53"/>
      <c r="AT31" s="54"/>
      <c r="AU31" s="55"/>
      <c r="AV31" s="12"/>
    </row>
    <row r="32" spans="1:62">
      <c r="A32" s="7"/>
      <c r="B32" s="41" t="s">
        <v>118</v>
      </c>
      <c r="C32" s="26" t="s">
        <v>119</v>
      </c>
      <c r="D32" s="27"/>
      <c r="E32" s="28">
        <v>8.9849999999999999E-2</v>
      </c>
      <c r="F32" s="29">
        <v>2.016</v>
      </c>
      <c r="G32" s="28">
        <v>4125</v>
      </c>
      <c r="H32" s="28">
        <v>14266</v>
      </c>
      <c r="I32" s="28">
        <v>10130</v>
      </c>
      <c r="J32" s="28">
        <f t="shared" si="23"/>
        <v>1.4082922013820336</v>
      </c>
      <c r="K32" s="28">
        <v>8.42</v>
      </c>
      <c r="L32" s="30">
        <f t="shared" si="9"/>
        <v>496.03174603174602</v>
      </c>
      <c r="M32" s="31">
        <v>0.16</v>
      </c>
      <c r="N32" s="31">
        <f t="shared" si="1"/>
        <v>0</v>
      </c>
      <c r="O32" s="28">
        <v>20.216999999999999</v>
      </c>
      <c r="P32" s="28">
        <v>0.46</v>
      </c>
      <c r="Q32" s="32">
        <v>0</v>
      </c>
      <c r="R32" s="33">
        <f>Q32/$Q$34</f>
        <v>0</v>
      </c>
      <c r="S32" s="34">
        <f t="shared" si="11"/>
        <v>0</v>
      </c>
      <c r="T32" s="35">
        <f t="shared" si="2"/>
        <v>0</v>
      </c>
      <c r="U32" s="35">
        <f t="shared" si="3"/>
        <v>0</v>
      </c>
      <c r="V32" s="35">
        <f t="shared" si="4"/>
        <v>0</v>
      </c>
      <c r="W32" s="35">
        <f t="shared" si="5"/>
        <v>-30.995170689170642</v>
      </c>
      <c r="X32" s="35" t="str">
        <f t="shared" si="22"/>
        <v/>
      </c>
      <c r="Y32" s="35" t="str">
        <f t="shared" si="12"/>
        <v/>
      </c>
      <c r="Z32" s="35" t="str">
        <f>IF(R32&gt;0,IF(W32&lt;$Z$3," (Gas)"," (Vapor)"),"")</f>
        <v/>
      </c>
      <c r="AA32" s="36" t="str">
        <f t="shared" si="6"/>
        <v/>
      </c>
      <c r="AB32" s="6"/>
      <c r="AC32" s="6" t="str">
        <f t="shared" si="14"/>
        <v>Hydrogen</v>
      </c>
      <c r="AD32" s="20">
        <f t="shared" si="15"/>
        <v>0</v>
      </c>
      <c r="AE32" s="6">
        <v>0</v>
      </c>
      <c r="AF32" s="6">
        <f t="shared" si="16"/>
        <v>0</v>
      </c>
      <c r="AG32" s="37">
        <f t="shared" si="17"/>
        <v>8.9849999999999999E-2</v>
      </c>
      <c r="AH32" s="37">
        <f t="shared" si="18"/>
        <v>0</v>
      </c>
      <c r="AI32" s="37">
        <f t="shared" si="19"/>
        <v>0</v>
      </c>
      <c r="AJ32" s="37">
        <f t="shared" si="20"/>
        <v>0</v>
      </c>
      <c r="AK32" s="6">
        <f>IF(R32&gt;0.01,1,9999)</f>
        <v>9999</v>
      </c>
      <c r="AL32" s="6">
        <f t="shared" si="21"/>
        <v>20157.984</v>
      </c>
      <c r="AM32" s="20">
        <v>53</v>
      </c>
      <c r="AN32" s="6"/>
      <c r="AO32" s="6"/>
      <c r="AP32" s="6"/>
      <c r="AQ32" s="6"/>
      <c r="AR32" s="6"/>
      <c r="AS32" s="53"/>
      <c r="AT32" s="54"/>
      <c r="AU32" s="55"/>
      <c r="AV32" s="12"/>
      <c r="BI32" s="51" t="s">
        <v>120</v>
      </c>
      <c r="BJ32" s="51" t="e">
        <f>BJ30/2</f>
        <v>#DIV/0!</v>
      </c>
    </row>
    <row r="33" spans="1:48" ht="15.75" thickBot="1">
      <c r="A33" s="7"/>
      <c r="B33" s="56" t="s">
        <v>121</v>
      </c>
      <c r="C33" s="57" t="s">
        <v>122</v>
      </c>
      <c r="D33" s="58"/>
      <c r="E33" s="59">
        <v>0.59</v>
      </c>
      <c r="F33" s="60">
        <v>18.02</v>
      </c>
      <c r="G33" s="59">
        <v>461.5</v>
      </c>
      <c r="H33" s="59">
        <v>1000</v>
      </c>
      <c r="I33" s="59" t="s">
        <v>73</v>
      </c>
      <c r="J33" s="59">
        <v>1.32</v>
      </c>
      <c r="K33" s="59" t="s">
        <v>73</v>
      </c>
      <c r="L33" s="61">
        <f>(F33^-1)*1000</f>
        <v>55.493895671476139</v>
      </c>
      <c r="M33" s="62">
        <v>1.6E-2</v>
      </c>
      <c r="N33" s="62">
        <f t="shared" si="1"/>
        <v>98.240000000000009</v>
      </c>
      <c r="O33" s="59">
        <v>372.15</v>
      </c>
      <c r="P33" s="59">
        <v>40.68</v>
      </c>
      <c r="Q33" s="63">
        <v>6140</v>
      </c>
      <c r="R33" s="64">
        <f>Q33/$Q$34</f>
        <v>0.19650515265954041</v>
      </c>
      <c r="S33" s="65">
        <f t="shared" si="11"/>
        <v>1831.349420725853</v>
      </c>
      <c r="T33" s="66">
        <f t="shared" si="2"/>
        <v>3.541022850924918</v>
      </c>
      <c r="U33" s="66">
        <f t="shared" si="3"/>
        <v>1634.1820457018496</v>
      </c>
      <c r="V33" s="66">
        <f t="shared" si="4"/>
        <v>0.25938680151059335</v>
      </c>
      <c r="W33" s="66">
        <f t="shared" si="5"/>
        <v>567.23259946487281</v>
      </c>
      <c r="X33" s="66" t="str">
        <f t="shared" si="22"/>
        <v xml:space="preserve"> (Gas)</v>
      </c>
      <c r="Y33" s="66" t="str">
        <f t="shared" si="12"/>
        <v xml:space="preserve"> (Gas)</v>
      </c>
      <c r="Z33" s="66" t="str">
        <f t="shared" si="13"/>
        <v xml:space="preserve"> (Gas)</v>
      </c>
      <c r="AA33" s="67" t="str">
        <f>IF(X33=" (Vapor)"," (Vapor)",IFERROR(IF(OR(Z33=" (Vapor)",Y33=" (Vapor)")=TRUE," (Condensating Gas)",X33),X33))</f>
        <v xml:space="preserve"> (Gas)</v>
      </c>
      <c r="AB33" s="6"/>
      <c r="AC33" s="6" t="str">
        <f t="shared" si="14"/>
        <v>Water</v>
      </c>
      <c r="AD33" s="20">
        <f t="shared" si="15"/>
        <v>1831.349420725853</v>
      </c>
      <c r="AE33" s="6">
        <v>0</v>
      </c>
      <c r="AF33" s="6">
        <f t="shared" si="16"/>
        <v>0</v>
      </c>
      <c r="AG33" s="37">
        <f t="shared" si="17"/>
        <v>0.59</v>
      </c>
      <c r="AH33" s="37">
        <f t="shared" si="18"/>
        <v>0</v>
      </c>
      <c r="AI33" s="37">
        <f t="shared" si="19"/>
        <v>1</v>
      </c>
      <c r="AJ33" s="37">
        <f t="shared" si="20"/>
        <v>0</v>
      </c>
      <c r="AK33" s="6">
        <v>10000</v>
      </c>
      <c r="AL33" s="6">
        <f t="shared" si="21"/>
        <v>180200</v>
      </c>
      <c r="AM33" s="20" t="s">
        <v>46</v>
      </c>
      <c r="AN33" s="6"/>
      <c r="AO33" s="6"/>
      <c r="AP33" s="6"/>
      <c r="AQ33" s="6"/>
      <c r="AR33" s="6"/>
      <c r="AS33" s="68"/>
      <c r="AT33" s="69"/>
      <c r="AU33" s="70"/>
      <c r="AV33" s="12"/>
    </row>
    <row r="34" spans="1:48">
      <c r="A34" s="7"/>
      <c r="B34" s="13" t="s">
        <v>123</v>
      </c>
      <c r="C34" s="49"/>
      <c r="D34" s="35"/>
      <c r="E34" s="35"/>
      <c r="F34" s="35"/>
      <c r="G34" s="32"/>
      <c r="H34" s="32"/>
      <c r="I34" s="32"/>
      <c r="J34" s="32"/>
      <c r="K34" s="32" t="s">
        <v>124</v>
      </c>
      <c r="L34" s="32"/>
      <c r="M34" s="32"/>
      <c r="N34" s="32"/>
      <c r="O34" s="32"/>
      <c r="P34" s="32"/>
      <c r="Q34" s="28">
        <f>SUM(Q4:Q33)</f>
        <v>31246</v>
      </c>
      <c r="R34" s="35"/>
      <c r="S34" s="35"/>
      <c r="T34" s="35">
        <f>SUM(T4:T33)</f>
        <v>41.79949689560263</v>
      </c>
      <c r="U34" s="35">
        <f>SUM(U4:U33)</f>
        <v>8334.2782852205073</v>
      </c>
      <c r="V34" s="35">
        <f>SUM(V4:V33)</f>
        <v>1.3561689670235271</v>
      </c>
      <c r="W34" s="35"/>
      <c r="X34" s="35"/>
      <c r="Y34" s="35"/>
      <c r="Z34" s="35"/>
      <c r="AA34" s="36"/>
      <c r="AB34" s="6"/>
      <c r="AC34" s="6" t="str">
        <f t="shared" si="14"/>
        <v>Measurements</v>
      </c>
      <c r="AD34" s="6"/>
      <c r="AE34" s="71" t="s">
        <v>125</v>
      </c>
      <c r="AF34" s="6">
        <f>MAX(AF4:AF33)</f>
        <v>1</v>
      </c>
      <c r="AG34" s="6"/>
      <c r="AH34" s="6"/>
      <c r="AI34" s="6"/>
      <c r="AJ34" s="6"/>
      <c r="AK34" s="6"/>
      <c r="AL34" s="6">
        <f>MIN(AL4:AL33)</f>
        <v>83.7</v>
      </c>
      <c r="AM34" s="6"/>
      <c r="AN34" s="6"/>
      <c r="AO34" s="6"/>
      <c r="AP34" s="6"/>
      <c r="AQ34" s="6"/>
      <c r="AR34" s="6"/>
      <c r="AS34" s="11" t="s">
        <v>126</v>
      </c>
      <c r="AT34" s="3"/>
      <c r="AU34" s="5"/>
      <c r="AV34" s="12"/>
    </row>
    <row r="35" spans="1:48">
      <c r="A35" s="7"/>
      <c r="B35" s="38" t="s">
        <v>127</v>
      </c>
      <c r="C35" s="49"/>
      <c r="D35" s="35"/>
      <c r="E35" s="35"/>
      <c r="F35" s="35"/>
      <c r="G35" s="32"/>
      <c r="H35" s="32"/>
      <c r="I35" s="32"/>
      <c r="J35" s="32"/>
      <c r="K35" s="32"/>
      <c r="L35" s="32"/>
      <c r="M35" s="32"/>
      <c r="N35" s="32"/>
      <c r="O35" s="32"/>
      <c r="P35" s="72" t="s">
        <v>128</v>
      </c>
      <c r="Q35" s="73">
        <f>SUMIF(X4:X33," (Gas)",Q4:Q33)</f>
        <v>31246</v>
      </c>
      <c r="R35" s="74">
        <v>108000000</v>
      </c>
      <c r="S35" s="32"/>
      <c r="T35" s="32"/>
      <c r="U35" s="32"/>
      <c r="V35" s="32"/>
      <c r="W35" s="32"/>
      <c r="X35" s="75">
        <f>IF(AA35="Km",R35,R35/X40)</f>
        <v>108000000</v>
      </c>
      <c r="Y35" s="76" t="s">
        <v>129</v>
      </c>
      <c r="Z35" s="32"/>
      <c r="AA35" s="76" t="s">
        <v>129</v>
      </c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 t="str">
        <f>INDEX(AC4:AL33,MATCH(AL34,AL4:AL33,0),1)</f>
        <v>Krypton</v>
      </c>
      <c r="AM35" s="6"/>
      <c r="AN35" s="6"/>
      <c r="AO35" s="6"/>
      <c r="AP35" s="6"/>
      <c r="AQ35" s="6"/>
      <c r="AR35" s="6"/>
      <c r="AS35" s="77" t="str">
        <f>B64&amp;":  "</f>
        <v xml:space="preserve">Perfect match:  </v>
      </c>
      <c r="AT35" s="78" t="str">
        <f>C64</f>
        <v>No</v>
      </c>
      <c r="AU35" s="12"/>
      <c r="AV35" s="12"/>
    </row>
    <row r="36" spans="1:48">
      <c r="A36" s="7"/>
      <c r="B36" s="38" t="s">
        <v>130</v>
      </c>
      <c r="C36" s="49"/>
      <c r="D36" s="35"/>
      <c r="E36" s="35"/>
      <c r="F36" s="35"/>
      <c r="G36" s="32" t="s">
        <v>131</v>
      </c>
      <c r="H36" s="32">
        <f>SUMPRODUCT(H4:H33,R4:R33)</f>
        <v>986.74550342443831</v>
      </c>
      <c r="I36" s="79" t="s">
        <v>26</v>
      </c>
      <c r="J36" s="32"/>
      <c r="K36" s="32"/>
      <c r="L36" s="32"/>
      <c r="M36" s="32"/>
      <c r="N36" s="32"/>
      <c r="O36" s="32"/>
      <c r="P36" s="32"/>
      <c r="Q36" s="28"/>
      <c r="R36" s="74">
        <v>5780</v>
      </c>
      <c r="S36" s="32"/>
      <c r="T36" s="32"/>
      <c r="U36" s="32"/>
      <c r="V36" s="32"/>
      <c r="W36" s="32"/>
      <c r="X36" s="32"/>
      <c r="Y36" s="32"/>
      <c r="Z36" s="32"/>
      <c r="AA36" s="36" t="s">
        <v>132</v>
      </c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 t="s">
        <v>133</v>
      </c>
      <c r="AM36" s="6">
        <f>INDEX(AC4:AM33,MATCH(AL34,AL4:AL33,0),11)</f>
        <v>88</v>
      </c>
      <c r="AN36" s="6"/>
      <c r="AO36" s="6"/>
      <c r="AP36" s="6" t="s">
        <v>134</v>
      </c>
      <c r="AQ36" s="6"/>
      <c r="AR36" s="6"/>
      <c r="AS36" s="7"/>
      <c r="AT36" s="6"/>
      <c r="AU36" s="12"/>
      <c r="AV36" s="12"/>
    </row>
    <row r="37" spans="1:48">
      <c r="A37" s="7"/>
      <c r="B37" s="38" t="s">
        <v>135</v>
      </c>
      <c r="C37" s="49"/>
      <c r="D37" s="35"/>
      <c r="E37" s="35"/>
      <c r="F37" s="35"/>
      <c r="G37" s="32" t="s">
        <v>136</v>
      </c>
      <c r="H37" s="32">
        <f>SUMPRODUCT(M4:M33,R4:R33)</f>
        <v>1.4709108365870832E-2</v>
      </c>
      <c r="I37" s="32"/>
      <c r="J37" s="32"/>
      <c r="K37" s="32"/>
      <c r="L37" s="32"/>
      <c r="M37" s="32" t="s">
        <v>137</v>
      </c>
      <c r="N37" s="32"/>
      <c r="O37" s="72" t="s">
        <v>138</v>
      </c>
      <c r="P37" s="80">
        <f>SUM(N4:N33)/Q35</f>
        <v>1.470910836587083E-2</v>
      </c>
      <c r="Q37" s="28"/>
      <c r="R37" s="74">
        <v>1400000</v>
      </c>
      <c r="S37" s="32"/>
      <c r="T37" s="32"/>
      <c r="U37" s="32"/>
      <c r="V37" s="32"/>
      <c r="W37" s="32"/>
      <c r="X37" s="32"/>
      <c r="Y37" s="76"/>
      <c r="Z37" s="32"/>
      <c r="AA37" s="36" t="s">
        <v>129</v>
      </c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 t="s">
        <v>139</v>
      </c>
      <c r="AM37" s="6">
        <f>(PI()*((2*AM36)^2))*1E-24</f>
        <v>9.7313974037597423E-20</v>
      </c>
      <c r="AN37" s="6"/>
      <c r="AO37" s="6"/>
      <c r="AP37" s="6"/>
      <c r="AQ37" s="6"/>
      <c r="AR37" s="6"/>
      <c r="AS37" s="81" t="str">
        <f>C66</f>
        <v>This Atmosphere might contain elements that are unhealthy!</v>
      </c>
      <c r="AT37" s="82"/>
      <c r="AU37" s="83"/>
      <c r="AV37" s="12"/>
    </row>
    <row r="38" spans="1:48">
      <c r="A38" s="7"/>
      <c r="B38" s="38" t="s">
        <v>140</v>
      </c>
      <c r="C38" s="49"/>
      <c r="D38" s="35"/>
      <c r="E38" s="35"/>
      <c r="F38" s="35"/>
      <c r="G38" s="32"/>
      <c r="H38" s="32"/>
      <c r="I38" s="32"/>
      <c r="J38" s="32"/>
      <c r="K38" s="32"/>
      <c r="L38" s="32"/>
      <c r="M38" s="32"/>
      <c r="N38" s="32"/>
      <c r="O38" s="72"/>
      <c r="P38" s="80"/>
      <c r="Q38" s="28"/>
      <c r="R38" s="74">
        <v>1450</v>
      </c>
      <c r="S38" s="32"/>
      <c r="T38" s="32">
        <f>R38+272.15</f>
        <v>1722.15</v>
      </c>
      <c r="U38" s="32" t="s">
        <v>141</v>
      </c>
      <c r="V38" s="32"/>
      <c r="W38" s="32"/>
      <c r="X38" s="32"/>
      <c r="Y38" s="32"/>
      <c r="Z38" s="32"/>
      <c r="AA38" s="36" t="s">
        <v>142</v>
      </c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 t="s">
        <v>143</v>
      </c>
      <c r="AM38" s="6">
        <f>(INDEX(B4:F33,MATCH(AL35,B4:B33,0),5))/1000</f>
        <v>8.3699999999999997E-2</v>
      </c>
      <c r="AN38" s="6" t="s">
        <v>144</v>
      </c>
      <c r="AO38" s="6"/>
      <c r="AP38" s="6"/>
      <c r="AQ38" s="6"/>
      <c r="AR38" s="6"/>
      <c r="AS38" s="81" t="str">
        <f>C67</f>
        <v>This atmosphere contains hallucinogenic gases that are deadly</v>
      </c>
      <c r="AT38" s="82"/>
      <c r="AU38" s="83"/>
      <c r="AV38" s="12"/>
    </row>
    <row r="39" spans="1:48">
      <c r="A39" s="7"/>
      <c r="B39" s="45" t="s">
        <v>145</v>
      </c>
      <c r="C39" s="49"/>
      <c r="D39" s="35"/>
      <c r="E39" s="35"/>
      <c r="F39" s="35"/>
      <c r="G39" s="32" t="s">
        <v>146</v>
      </c>
      <c r="H39" s="32">
        <f>(H36*H37*R57)^(1/2)</f>
        <v>30.65390395435459</v>
      </c>
      <c r="I39" s="32"/>
      <c r="J39" s="32" t="s">
        <v>147</v>
      </c>
      <c r="K39" s="32">
        <f>H39^-1</f>
        <v>3.2622272239420366E-2</v>
      </c>
      <c r="L39" s="84" t="s">
        <v>148</v>
      </c>
      <c r="M39" s="32">
        <f>(((T40-3-R49)/R49)*TANH(O46*K39))*6</f>
        <v>2.0315179492058495</v>
      </c>
      <c r="N39" s="32" t="s">
        <v>132</v>
      </c>
      <c r="O39" s="32"/>
      <c r="P39" s="32"/>
      <c r="Q39" s="32"/>
      <c r="R39" s="74">
        <v>92</v>
      </c>
      <c r="S39" s="85"/>
      <c r="T39" s="32">
        <f>101325*R39</f>
        <v>9321900</v>
      </c>
      <c r="U39" s="32" t="s">
        <v>149</v>
      </c>
      <c r="V39" s="32" t="s">
        <v>150</v>
      </c>
      <c r="W39" s="32"/>
      <c r="X39" s="32" t="s">
        <v>151</v>
      </c>
      <c r="Y39" s="32"/>
      <c r="Z39" s="32"/>
      <c r="AA39" s="36" t="s">
        <v>152</v>
      </c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86" t="s">
        <v>153</v>
      </c>
      <c r="AM39" s="6">
        <v>8.3144597999999998</v>
      </c>
      <c r="AN39" s="6"/>
      <c r="AO39" s="6"/>
      <c r="AP39" s="6"/>
      <c r="AQ39" s="6"/>
      <c r="AR39" s="6"/>
      <c r="AS39" s="81" t="str">
        <f>C68</f>
        <v>Insufficient Oxygen!</v>
      </c>
      <c r="AT39" s="82"/>
      <c r="AU39" s="83"/>
      <c r="AV39" s="12"/>
    </row>
    <row r="40" spans="1:48">
      <c r="A40" s="7"/>
      <c r="B40" s="45" t="s">
        <v>154</v>
      </c>
      <c r="C40" s="49"/>
      <c r="D40" s="35"/>
      <c r="E40" s="35"/>
      <c r="F40" s="35"/>
      <c r="G40" s="32"/>
      <c r="H40" s="32"/>
      <c r="I40" s="32"/>
      <c r="J40" s="32"/>
      <c r="K40" s="32"/>
      <c r="L40" s="72" t="s">
        <v>155</v>
      </c>
      <c r="M40" s="32">
        <f>IF(T40-M39&lt;3,269.15,M39)</f>
        <v>2.0315179492058495</v>
      </c>
      <c r="N40" s="32" t="s">
        <v>132</v>
      </c>
      <c r="O40" s="32"/>
      <c r="P40" s="32"/>
      <c r="Q40" s="32"/>
      <c r="R40" s="74">
        <v>450</v>
      </c>
      <c r="S40" s="85"/>
      <c r="T40" s="32">
        <f>R40+272.15</f>
        <v>722.15</v>
      </c>
      <c r="U40" s="32" t="s">
        <v>141</v>
      </c>
      <c r="V40" s="32">
        <f>((V34*8.314*T40)/(R50/1000))^(1/2)</f>
        <v>441.35707394040293</v>
      </c>
      <c r="W40" s="32"/>
      <c r="X40" s="87">
        <v>6.6845871200000004E-9</v>
      </c>
      <c r="Y40" s="32"/>
      <c r="Z40" s="32"/>
      <c r="AA40" s="36" t="s">
        <v>156</v>
      </c>
      <c r="AB40" s="6"/>
      <c r="AC40" s="6"/>
      <c r="AD40" s="6"/>
      <c r="AE40" s="6"/>
      <c r="AF40" s="6"/>
      <c r="AG40" s="6"/>
      <c r="AH40" s="6"/>
      <c r="AI40" s="6"/>
      <c r="AJ40" s="6"/>
      <c r="AK40" s="6" t="s">
        <v>157</v>
      </c>
      <c r="AL40" s="6" t="s">
        <v>158</v>
      </c>
      <c r="AM40" s="6">
        <f>1/AM37</f>
        <v>1.027601647029283E+19</v>
      </c>
      <c r="AN40" s="6" t="s">
        <v>159</v>
      </c>
      <c r="AO40" s="6"/>
      <c r="AP40" s="6"/>
      <c r="AQ40" s="6"/>
      <c r="AR40" s="6"/>
      <c r="AS40" s="81" t="str">
        <f>C69</f>
        <v>Too hot</v>
      </c>
      <c r="AT40" s="82"/>
      <c r="AU40" s="83"/>
      <c r="AV40" s="12"/>
    </row>
    <row r="41" spans="1:48">
      <c r="A41" s="7"/>
      <c r="B41" s="88" t="s">
        <v>160</v>
      </c>
      <c r="C41" s="49"/>
      <c r="D41" s="35"/>
      <c r="E41" s="35"/>
      <c r="F41" s="35"/>
      <c r="G41" s="32" t="s">
        <v>161</v>
      </c>
      <c r="H41" s="32"/>
      <c r="I41" s="32" t="s">
        <v>162</v>
      </c>
      <c r="J41" s="32"/>
      <c r="K41" s="32" t="s">
        <v>163</v>
      </c>
      <c r="L41" s="89" t="s">
        <v>164</v>
      </c>
      <c r="M41" s="32">
        <f>IF(M40&gt;R48,R48,M40)</f>
        <v>2.0315179492058495</v>
      </c>
      <c r="N41" s="75" t="s">
        <v>132</v>
      </c>
      <c r="O41" s="75" t="s">
        <v>165</v>
      </c>
      <c r="P41" s="32"/>
      <c r="Q41" s="32"/>
      <c r="R41" s="74">
        <v>0.9</v>
      </c>
      <c r="S41" s="85"/>
      <c r="T41" s="32"/>
      <c r="U41" s="32"/>
      <c r="V41" s="32"/>
      <c r="W41" s="32"/>
      <c r="X41" s="32">
        <v>6000000</v>
      </c>
      <c r="Y41" s="32" t="s">
        <v>166</v>
      </c>
      <c r="Z41" s="32"/>
      <c r="AA41" s="36" t="s">
        <v>167</v>
      </c>
      <c r="AB41" s="6"/>
      <c r="AC41" s="6"/>
      <c r="AD41" s="6"/>
      <c r="AE41" s="6"/>
      <c r="AF41" s="6"/>
      <c r="AG41" s="6"/>
      <c r="AH41" s="6"/>
      <c r="AI41" s="6"/>
      <c r="AJ41" s="6"/>
      <c r="AK41" s="82">
        <f>T38</f>
        <v>1722.15</v>
      </c>
      <c r="AL41" s="6" t="s">
        <v>168</v>
      </c>
      <c r="AM41" s="6">
        <f>((3*AK41*AM39)/AM38)^(1/2)</f>
        <v>716.39146865698797</v>
      </c>
      <c r="AN41" s="6" t="s">
        <v>169</v>
      </c>
      <c r="AO41" s="6"/>
      <c r="AP41" s="6"/>
      <c r="AQ41" s="6"/>
      <c r="AR41" s="6"/>
      <c r="AS41" s="81" t="str">
        <f>C70</f>
        <v>Risk of heavier elements depriving lover atmospheric elements of oxygen</v>
      </c>
      <c r="AT41" s="82"/>
      <c r="AU41" s="83"/>
      <c r="AV41" s="12"/>
    </row>
    <row r="42" spans="1:48" ht="15.75">
      <c r="A42" s="7"/>
      <c r="B42" s="45" t="s">
        <v>170</v>
      </c>
      <c r="C42" s="49"/>
      <c r="D42" s="35"/>
      <c r="E42" s="35" t="s">
        <v>171</v>
      </c>
      <c r="F42" s="35">
        <f>R46/2</f>
        <v>6002</v>
      </c>
      <c r="G42" s="90">
        <v>8.3144597999999998</v>
      </c>
      <c r="H42" s="32"/>
      <c r="I42" s="87">
        <v>5.9721900000000004E+24</v>
      </c>
      <c r="J42" s="32"/>
      <c r="K42" s="87">
        <v>5.15E+18</v>
      </c>
      <c r="L42" s="87" t="s">
        <v>172</v>
      </c>
      <c r="M42" s="91">
        <f>R44</f>
        <v>243</v>
      </c>
      <c r="N42" s="87" t="s">
        <v>173</v>
      </c>
      <c r="O42" s="32">
        <f>IF(M46&lt;0,1,-1)</f>
        <v>-1</v>
      </c>
      <c r="P42" s="32"/>
      <c r="Q42" s="32"/>
      <c r="R42" s="74">
        <v>0.9</v>
      </c>
      <c r="S42" s="85"/>
      <c r="T42" s="32">
        <f>R42*9.80665</f>
        <v>8.8259849999999993</v>
      </c>
      <c r="U42" s="32" t="s">
        <v>174</v>
      </c>
      <c r="V42" s="32" t="s">
        <v>169</v>
      </c>
      <c r="W42" s="32"/>
      <c r="X42" s="92">
        <f>X41*X40</f>
        <v>4.0107522720000004E-2</v>
      </c>
      <c r="Y42" s="32" t="s">
        <v>175</v>
      </c>
      <c r="Z42" s="32"/>
      <c r="AA42" s="36" t="s">
        <v>176</v>
      </c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 t="s">
        <v>177</v>
      </c>
      <c r="AM42" s="6">
        <f>T42</f>
        <v>8.8259849999999993</v>
      </c>
      <c r="AN42" s="6" t="s">
        <v>174</v>
      </c>
      <c r="AO42" s="6"/>
      <c r="AP42" s="6"/>
      <c r="AQ42" s="6"/>
      <c r="AR42" s="6"/>
      <c r="AS42" s="7" t="str">
        <f>AM56</f>
        <v>Atmosphere is likely to be thermokinetic stable</v>
      </c>
      <c r="AT42" s="6"/>
      <c r="AU42" s="12"/>
      <c r="AV42" s="12"/>
    </row>
    <row r="43" spans="1:48" ht="15.75">
      <c r="A43" s="7"/>
      <c r="B43" s="45" t="s">
        <v>178</v>
      </c>
      <c r="C43" s="49"/>
      <c r="D43" s="35"/>
      <c r="E43" s="35"/>
      <c r="F43" s="35"/>
      <c r="G43" s="90" t="s">
        <v>179</v>
      </c>
      <c r="H43" s="32"/>
      <c r="I43" s="87"/>
      <c r="J43" s="32"/>
      <c r="K43" s="87"/>
      <c r="L43" s="32"/>
      <c r="M43" s="32">
        <f>IFERROR(ABS(((R43/M42-1)^-1)*(R43/M42)),100000000)</f>
        <v>12.5</v>
      </c>
      <c r="N43" s="75" t="s">
        <v>180</v>
      </c>
      <c r="O43" s="32"/>
      <c r="P43" s="32"/>
      <c r="Q43" s="32"/>
      <c r="R43" s="93">
        <v>225</v>
      </c>
      <c r="S43" s="85"/>
      <c r="T43" s="32"/>
      <c r="U43" s="32"/>
      <c r="V43" s="32"/>
      <c r="W43" s="32"/>
      <c r="X43" s="92"/>
      <c r="Y43" s="32"/>
      <c r="Z43" s="32"/>
      <c r="AA43" s="36" t="s">
        <v>181</v>
      </c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 t="s">
        <v>182</v>
      </c>
      <c r="AM43" s="94">
        <f>G44</f>
        <v>1.3806485199999999E-23</v>
      </c>
      <c r="AN43" s="6"/>
      <c r="AO43" s="6"/>
      <c r="AP43" s="6"/>
      <c r="AQ43" s="6"/>
      <c r="AR43" s="6"/>
      <c r="AS43" s="7"/>
      <c r="AT43" s="6"/>
      <c r="AU43" s="12"/>
      <c r="AV43" s="12"/>
    </row>
    <row r="44" spans="1:48" ht="15.75">
      <c r="A44" s="7"/>
      <c r="B44" s="45" t="s">
        <v>183</v>
      </c>
      <c r="C44" s="49"/>
      <c r="D44" s="35"/>
      <c r="E44" s="35"/>
      <c r="F44" s="35"/>
      <c r="G44" s="95">
        <v>1.3806485199999999E-23</v>
      </c>
      <c r="H44" s="32"/>
      <c r="I44" s="87"/>
      <c r="J44" s="32"/>
      <c r="K44" s="87"/>
      <c r="L44" s="91" t="s">
        <v>184</v>
      </c>
      <c r="M44" s="91">
        <f>ABS(IFERROR((R43*R44*O42)/(R43-R44*O42),1000000))</f>
        <v>116.82692307692308</v>
      </c>
      <c r="N44" s="91" t="s">
        <v>173</v>
      </c>
      <c r="O44" s="32" t="s">
        <v>120</v>
      </c>
      <c r="P44" s="32"/>
      <c r="Q44" s="32"/>
      <c r="R44" s="93">
        <v>243</v>
      </c>
      <c r="S44" s="85"/>
      <c r="T44" s="32"/>
      <c r="U44" s="32"/>
      <c r="V44" s="32"/>
      <c r="W44" s="32"/>
      <c r="X44" s="92"/>
      <c r="Y44" s="32"/>
      <c r="Z44" s="32"/>
      <c r="AA44" s="36" t="s">
        <v>181</v>
      </c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 t="s">
        <v>185</v>
      </c>
      <c r="AM44" s="94">
        <f>K48</f>
        <v>6.6740800000000003E-11</v>
      </c>
      <c r="AN44" s="6"/>
      <c r="AO44" s="6"/>
      <c r="AP44" s="6"/>
      <c r="AQ44" s="6"/>
      <c r="AR44" s="6"/>
      <c r="AS44" s="7"/>
      <c r="AT44" s="6"/>
      <c r="AU44" s="12"/>
      <c r="AV44" s="12"/>
    </row>
    <row r="45" spans="1:48" ht="15.75">
      <c r="A45" s="7"/>
      <c r="B45" s="45" t="s">
        <v>186</v>
      </c>
      <c r="C45" s="49"/>
      <c r="D45" s="35"/>
      <c r="E45" s="35"/>
      <c r="F45" s="35"/>
      <c r="G45" s="90"/>
      <c r="H45" s="32"/>
      <c r="I45" s="87"/>
      <c r="J45" s="32"/>
      <c r="K45" s="87"/>
      <c r="L45" s="32" t="s">
        <v>187</v>
      </c>
      <c r="M45" s="32">
        <f>RADIANS(R45)</f>
        <v>3.0543261909900767</v>
      </c>
      <c r="N45" s="96" t="s">
        <v>188</v>
      </c>
      <c r="O45" s="32"/>
      <c r="P45" s="72"/>
      <c r="Q45" s="32"/>
      <c r="R45" s="97">
        <v>175</v>
      </c>
      <c r="S45" s="85"/>
      <c r="T45" s="32"/>
      <c r="U45" s="32"/>
      <c r="V45" s="32"/>
      <c r="W45" s="32"/>
      <c r="X45" s="92"/>
      <c r="Y45" s="32"/>
      <c r="Z45" s="32"/>
      <c r="AA45" s="36" t="s">
        <v>189</v>
      </c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 t="s">
        <v>190</v>
      </c>
      <c r="AM45" s="94">
        <f>K49</f>
        <v>4.7703975282286101E+24</v>
      </c>
      <c r="AN45" s="6"/>
      <c r="AO45" s="6"/>
      <c r="AP45" s="6"/>
      <c r="AQ45" s="6"/>
      <c r="AR45" s="6"/>
      <c r="AS45" s="7"/>
      <c r="AT45" s="6"/>
      <c r="AU45" s="12"/>
      <c r="AV45" s="12"/>
    </row>
    <row r="46" spans="1:48" ht="16.5" thickBot="1">
      <c r="A46" s="7"/>
      <c r="B46" s="98" t="s">
        <v>191</v>
      </c>
      <c r="C46" s="99"/>
      <c r="D46" s="66"/>
      <c r="E46" s="66" t="s">
        <v>192</v>
      </c>
      <c r="F46" s="100">
        <f>F42+R58</f>
        <v>6018.2752329664127</v>
      </c>
      <c r="G46" s="101" t="s">
        <v>193</v>
      </c>
      <c r="H46" s="63">
        <f>(4/3)*PI()*F42^3</f>
        <v>905683764544.49927</v>
      </c>
      <c r="I46" s="63"/>
      <c r="J46" s="63"/>
      <c r="K46" s="63"/>
      <c r="L46" s="102" t="s">
        <v>194</v>
      </c>
      <c r="M46" s="102">
        <f>-(COS(M45))^-1</f>
        <v>1.0038198375433474</v>
      </c>
      <c r="N46" s="103" t="s">
        <v>195</v>
      </c>
      <c r="O46" s="63">
        <f>ABS(M46*M44)</f>
        <v>117.27318294376606</v>
      </c>
      <c r="P46" s="63"/>
      <c r="Q46" s="63"/>
      <c r="R46" s="104">
        <v>12004</v>
      </c>
      <c r="S46" s="105"/>
      <c r="T46" s="63"/>
      <c r="U46" s="63"/>
      <c r="V46" s="63"/>
      <c r="W46" s="106" t="s">
        <v>196</v>
      </c>
      <c r="X46" s="63">
        <v>1.3822999999999999E-3</v>
      </c>
      <c r="Y46" s="63"/>
      <c r="Z46" s="63"/>
      <c r="AA46" s="107" t="s">
        <v>166</v>
      </c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 t="s">
        <v>197</v>
      </c>
      <c r="AM46" s="94"/>
      <c r="AN46" s="6"/>
      <c r="AO46" s="6"/>
      <c r="AP46" s="6"/>
      <c r="AQ46" s="6"/>
      <c r="AR46" s="6"/>
      <c r="AS46" s="68"/>
      <c r="AT46" s="69"/>
      <c r="AU46" s="70"/>
      <c r="AV46" s="12"/>
    </row>
    <row r="47" spans="1:48" ht="15.75" hidden="1">
      <c r="A47" s="108"/>
      <c r="B47" s="109" t="s">
        <v>43</v>
      </c>
      <c r="C47" s="110"/>
      <c r="D47" s="110"/>
      <c r="E47" s="110"/>
      <c r="F47" s="110"/>
      <c r="G47" s="111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3">
        <f>V40</f>
        <v>441.35707394040293</v>
      </c>
      <c r="S47" s="114"/>
      <c r="T47" s="9"/>
      <c r="U47" s="115"/>
      <c r="V47" s="9"/>
      <c r="W47" s="9"/>
      <c r="X47" s="9"/>
      <c r="Y47" s="9"/>
      <c r="Z47" s="9"/>
      <c r="AA47" s="10" t="s">
        <v>198</v>
      </c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 t="s">
        <v>197</v>
      </c>
      <c r="AM47" s="94"/>
      <c r="AN47" s="6"/>
      <c r="AO47" s="6"/>
      <c r="AP47" s="6"/>
      <c r="AQ47" s="6"/>
      <c r="AR47" s="6"/>
      <c r="AS47" s="7"/>
      <c r="AT47" s="6"/>
      <c r="AU47" s="12"/>
      <c r="AV47" s="12"/>
    </row>
    <row r="48" spans="1:48" ht="15.75" hidden="1">
      <c r="A48" s="108"/>
      <c r="B48" s="38" t="s">
        <v>47</v>
      </c>
      <c r="C48" s="40"/>
      <c r="D48" s="40"/>
      <c r="E48" s="40"/>
      <c r="F48" s="40"/>
      <c r="G48" s="90"/>
      <c r="H48" s="32"/>
      <c r="I48" s="32"/>
      <c r="J48" s="32" t="s">
        <v>199</v>
      </c>
      <c r="K48" s="87">
        <v>6.6740800000000003E-11</v>
      </c>
      <c r="L48" s="32"/>
      <c r="M48" s="32"/>
      <c r="N48" s="32"/>
      <c r="O48" s="32"/>
      <c r="P48" s="32"/>
      <c r="Q48" s="32"/>
      <c r="R48" s="116">
        <f>N60</f>
        <v>185.03333769613388</v>
      </c>
      <c r="S48" s="117"/>
      <c r="T48" s="35"/>
      <c r="U48" s="118"/>
      <c r="V48" s="119"/>
      <c r="W48" s="35"/>
      <c r="X48" s="35"/>
      <c r="Y48" s="35"/>
      <c r="Z48" s="35"/>
      <c r="AA48" s="36" t="s">
        <v>200</v>
      </c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 t="s">
        <v>201</v>
      </c>
      <c r="AM48" s="20">
        <v>8.1999999999999993</v>
      </c>
      <c r="AN48" s="6"/>
      <c r="AO48" s="6"/>
      <c r="AP48" s="6"/>
      <c r="AQ48" s="6"/>
      <c r="AR48" s="6"/>
      <c r="AS48" s="7"/>
      <c r="AT48" s="6"/>
      <c r="AU48" s="12"/>
      <c r="AV48" s="12"/>
    </row>
    <row r="49" spans="1:48" ht="15.75" hidden="1">
      <c r="A49" s="108"/>
      <c r="B49" s="38" t="s">
        <v>50</v>
      </c>
      <c r="C49" s="40"/>
      <c r="D49" s="40"/>
      <c r="E49" s="40"/>
      <c r="F49" s="40"/>
      <c r="G49" s="90"/>
      <c r="H49" s="32"/>
      <c r="I49" s="32"/>
      <c r="J49" s="32" t="s">
        <v>190</v>
      </c>
      <c r="K49" s="32">
        <f>(((R42*9.82*(R46/2)^2)/K48))*1000000</f>
        <v>4.7703975282286101E+24</v>
      </c>
      <c r="L49" s="32"/>
      <c r="M49" s="32"/>
      <c r="N49" s="32"/>
      <c r="O49" s="32"/>
      <c r="P49" s="32"/>
      <c r="Q49" s="32"/>
      <c r="R49" s="116">
        <f>T40-R48</f>
        <v>537.11666230386606</v>
      </c>
      <c r="S49" s="117"/>
      <c r="T49" s="35"/>
      <c r="U49" s="118"/>
      <c r="V49" s="119"/>
      <c r="W49" s="35"/>
      <c r="X49" s="35"/>
      <c r="Y49" s="35"/>
      <c r="Z49" s="35"/>
      <c r="AA49" s="36" t="s">
        <v>200</v>
      </c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 t="s">
        <v>202</v>
      </c>
      <c r="AM49" s="6">
        <f>R46/2</f>
        <v>6002</v>
      </c>
      <c r="AN49" s="6" t="s">
        <v>166</v>
      </c>
      <c r="AO49" s="6"/>
      <c r="AP49" s="6"/>
      <c r="AQ49" s="6"/>
      <c r="AR49" s="6"/>
      <c r="AS49" s="7"/>
      <c r="AT49" s="6"/>
      <c r="AU49" s="12"/>
      <c r="AV49" s="12"/>
    </row>
    <row r="50" spans="1:48" hidden="1">
      <c r="A50" s="108"/>
      <c r="B50" s="120" t="s">
        <v>203</v>
      </c>
      <c r="C50" s="121"/>
      <c r="D50" s="121"/>
      <c r="E50" s="121"/>
      <c r="F50" s="121"/>
      <c r="G50" s="32" t="s">
        <v>204</v>
      </c>
      <c r="H50" s="32">
        <f>(4/3)*PI()*F46^3</f>
        <v>913071412230.3219</v>
      </c>
      <c r="I50" s="32"/>
      <c r="J50" s="32" t="s">
        <v>205</v>
      </c>
      <c r="K50" s="87">
        <v>5.9760000000000004E+24</v>
      </c>
      <c r="L50" s="32" t="s">
        <v>206</v>
      </c>
      <c r="M50" s="32" t="s">
        <v>207</v>
      </c>
      <c r="N50" s="32">
        <f>N60</f>
        <v>185.03333769613388</v>
      </c>
      <c r="O50" s="32"/>
      <c r="P50" s="32"/>
      <c r="Q50" s="32"/>
      <c r="R50" s="122">
        <f>T34</f>
        <v>41.79949689560263</v>
      </c>
      <c r="S50" s="35"/>
      <c r="T50" s="35"/>
      <c r="U50" s="118"/>
      <c r="V50" s="119"/>
      <c r="W50" s="35"/>
      <c r="X50" s="35"/>
      <c r="Y50" s="35"/>
      <c r="Z50" s="35"/>
      <c r="AA50" s="36" t="s">
        <v>25</v>
      </c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 t="s">
        <v>208</v>
      </c>
      <c r="AM50" s="6">
        <f>AM49*(AM42/AM48)^(1/2)</f>
        <v>6226.8823086554585</v>
      </c>
      <c r="AN50" s="6"/>
      <c r="AO50" s="6"/>
      <c r="AP50" s="6"/>
      <c r="AQ50" s="6"/>
      <c r="AR50" s="6"/>
      <c r="AS50" s="7"/>
      <c r="AT50" s="6"/>
      <c r="AU50" s="12"/>
      <c r="AV50" s="12"/>
    </row>
    <row r="51" spans="1:48" hidden="1">
      <c r="A51" s="108"/>
      <c r="B51" s="120" t="s">
        <v>56</v>
      </c>
      <c r="C51" s="121"/>
      <c r="D51" s="121"/>
      <c r="E51" s="121"/>
      <c r="F51" s="121"/>
      <c r="G51" s="75" t="s">
        <v>209</v>
      </c>
      <c r="H51" s="32">
        <f>(H50-H46)*1000000000</f>
        <v>7.3876476858226319E+18</v>
      </c>
      <c r="I51" s="32" t="s">
        <v>210</v>
      </c>
      <c r="J51" s="32" t="s">
        <v>211</v>
      </c>
      <c r="K51" s="91">
        <f>K49/K50</f>
        <v>0.7982592918722573</v>
      </c>
      <c r="L51" s="32"/>
      <c r="M51" s="32" t="s">
        <v>212</v>
      </c>
      <c r="N51" s="32">
        <f>5.670367*(10^-8)</f>
        <v>5.6703669999999997E-8</v>
      </c>
      <c r="O51" s="32"/>
      <c r="P51" s="32"/>
      <c r="Q51" s="32"/>
      <c r="R51" s="122">
        <f>U34/R50</f>
        <v>199.38704779236915</v>
      </c>
      <c r="S51" s="35"/>
      <c r="T51" s="35"/>
      <c r="U51" s="118"/>
      <c r="V51" s="119"/>
      <c r="W51" s="35"/>
      <c r="X51" s="35"/>
      <c r="Y51" s="35"/>
      <c r="Z51" s="35"/>
      <c r="AA51" s="36" t="s">
        <v>26</v>
      </c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 t="s">
        <v>213</v>
      </c>
      <c r="AM51" s="6">
        <f>AM50-AM49</f>
        <v>224.88230865545847</v>
      </c>
      <c r="AN51" s="6"/>
      <c r="AO51" s="6"/>
      <c r="AP51" s="6"/>
      <c r="AQ51" s="6"/>
      <c r="AR51" s="6"/>
      <c r="AS51" s="7"/>
      <c r="AT51" s="6"/>
      <c r="AU51" s="12"/>
      <c r="AV51" s="12"/>
    </row>
    <row r="52" spans="1:48" hidden="1">
      <c r="A52" s="108"/>
      <c r="B52" s="43" t="s">
        <v>59</v>
      </c>
      <c r="C52" s="40"/>
      <c r="D52" s="40"/>
      <c r="E52" s="40"/>
      <c r="F52" s="40"/>
      <c r="G52" s="75"/>
      <c r="H52" s="32"/>
      <c r="I52" s="32"/>
      <c r="J52" s="32" t="s">
        <v>214</v>
      </c>
      <c r="K52" s="92">
        <f>((2*K48*K49)/((R46/2)*1000))^(1/2)</f>
        <v>10300.065630858864</v>
      </c>
      <c r="L52" s="32" t="s">
        <v>169</v>
      </c>
      <c r="M52" s="32" t="s">
        <v>67</v>
      </c>
      <c r="N52" s="32">
        <f>((4*N51)*(N50^4))/(1-R41)</f>
        <v>2658.7107474335962</v>
      </c>
      <c r="O52" s="32"/>
      <c r="P52" s="32"/>
      <c r="Q52" s="32"/>
      <c r="R52" s="123">
        <f>IFERROR(P37," -x- ")</f>
        <v>1.470910836587083E-2</v>
      </c>
      <c r="S52" s="35"/>
      <c r="T52" s="35"/>
      <c r="U52" s="118"/>
      <c r="V52" s="119"/>
      <c r="W52" s="35"/>
      <c r="X52" s="35"/>
      <c r="Y52" s="35"/>
      <c r="Z52" s="35"/>
      <c r="AA52" s="36" t="s">
        <v>215</v>
      </c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 t="s">
        <v>216</v>
      </c>
      <c r="AM52" s="124">
        <f>(((2*AM44*AM45)/AM50*1000)^(1/2))/1000</f>
        <v>10112.36318381463</v>
      </c>
      <c r="AN52" s="6" t="s">
        <v>169</v>
      </c>
      <c r="AO52" s="6"/>
      <c r="AP52" s="6"/>
      <c r="AQ52" s="6"/>
      <c r="AR52" s="94"/>
      <c r="AS52" s="7"/>
      <c r="AT52" s="6"/>
      <c r="AU52" s="12"/>
      <c r="AV52" s="12"/>
    </row>
    <row r="53" spans="1:48" hidden="1">
      <c r="A53" s="108"/>
      <c r="B53" s="43" t="s">
        <v>217</v>
      </c>
      <c r="C53" s="40"/>
      <c r="D53" s="40"/>
      <c r="E53" s="40"/>
      <c r="F53" s="40"/>
      <c r="G53" s="75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123">
        <f>M44</f>
        <v>116.82692307692308</v>
      </c>
      <c r="S53" s="35"/>
      <c r="T53" s="35"/>
      <c r="U53" s="118"/>
      <c r="V53" s="119"/>
      <c r="W53" s="35"/>
      <c r="X53" s="35"/>
      <c r="Y53" s="35"/>
      <c r="Z53" s="35"/>
      <c r="AA53" s="36" t="s">
        <v>218</v>
      </c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7"/>
      <c r="AT53" s="6"/>
      <c r="AU53" s="12"/>
      <c r="AV53" s="12"/>
    </row>
    <row r="54" spans="1:48" hidden="1">
      <c r="A54" s="108"/>
      <c r="B54" s="43" t="s">
        <v>64</v>
      </c>
      <c r="C54" s="40"/>
      <c r="D54" s="40"/>
      <c r="E54" s="40"/>
      <c r="F54" s="40"/>
      <c r="G54" s="75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123">
        <f>M41</f>
        <v>2.0315179492058495</v>
      </c>
      <c r="S54" s="35" t="s">
        <v>219</v>
      </c>
      <c r="T54" s="122">
        <f>272.15+R40-3-R49</f>
        <v>182.03333769613391</v>
      </c>
      <c r="U54" s="118"/>
      <c r="V54" s="119"/>
      <c r="W54" s="35"/>
      <c r="X54" s="35"/>
      <c r="Y54" s="35"/>
      <c r="Z54" s="35"/>
      <c r="AA54" s="36" t="s">
        <v>200</v>
      </c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86" t="s">
        <v>220</v>
      </c>
      <c r="AM54" s="6">
        <f>R62/AM41</f>
        <v>14.377705600219242</v>
      </c>
      <c r="AN54" s="6"/>
      <c r="AO54" s="6"/>
      <c r="AP54" s="6"/>
      <c r="AQ54" s="6"/>
      <c r="AR54" s="6"/>
      <c r="AS54" s="7"/>
      <c r="AT54" s="6"/>
      <c r="AU54" s="12"/>
      <c r="AV54" s="12"/>
    </row>
    <row r="55" spans="1:48" hidden="1">
      <c r="A55" s="108"/>
      <c r="B55" s="43" t="s">
        <v>67</v>
      </c>
      <c r="C55" s="40"/>
      <c r="D55" s="40"/>
      <c r="E55" s="40"/>
      <c r="F55" s="40"/>
      <c r="G55" s="75"/>
      <c r="H55" s="32"/>
      <c r="I55" s="32"/>
      <c r="J55" s="32"/>
      <c r="K55" s="32"/>
      <c r="L55" s="32"/>
      <c r="M55" s="6"/>
      <c r="N55" s="6"/>
      <c r="O55" s="32" t="s">
        <v>132</v>
      </c>
      <c r="P55" s="32"/>
      <c r="Q55" s="32"/>
      <c r="R55" s="122">
        <f>N52</f>
        <v>2658.7107474335962</v>
      </c>
      <c r="S55" s="35"/>
      <c r="T55" s="35"/>
      <c r="U55" s="118"/>
      <c r="V55" s="119"/>
      <c r="W55" s="35"/>
      <c r="X55" s="35"/>
      <c r="Y55" s="35"/>
      <c r="Z55" s="35"/>
      <c r="AA55" s="36" t="s">
        <v>221</v>
      </c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86" t="s">
        <v>222</v>
      </c>
      <c r="AM55" s="6">
        <f>IF(AM54&lt;1,1,IF(AM54&lt;1.5,2,3))</f>
        <v>3</v>
      </c>
      <c r="AN55" s="6"/>
      <c r="AO55" s="6">
        <v>1</v>
      </c>
      <c r="AP55" s="6" t="s">
        <v>223</v>
      </c>
      <c r="AQ55" s="6"/>
      <c r="AR55" s="6"/>
      <c r="AS55" s="7"/>
      <c r="AT55" s="6"/>
      <c r="AU55" s="12"/>
      <c r="AV55" s="12"/>
    </row>
    <row r="56" spans="1:48" hidden="1">
      <c r="A56" s="108"/>
      <c r="B56" s="43" t="s">
        <v>70</v>
      </c>
      <c r="C56" s="40"/>
      <c r="D56" s="40"/>
      <c r="E56" s="40"/>
      <c r="F56" s="40"/>
      <c r="G56" s="75"/>
      <c r="H56" s="32"/>
      <c r="I56" s="32"/>
      <c r="J56" s="32"/>
      <c r="K56" s="32"/>
      <c r="L56" s="32"/>
      <c r="M56" s="32" t="s">
        <v>224</v>
      </c>
      <c r="N56" s="125">
        <f>R36</f>
        <v>5780</v>
      </c>
      <c r="O56" s="32"/>
      <c r="P56" s="32"/>
      <c r="Q56" s="32"/>
      <c r="R56" s="122">
        <f>K51</f>
        <v>0.7982592918722573</v>
      </c>
      <c r="S56" s="35"/>
      <c r="T56" s="35"/>
      <c r="U56" s="118"/>
      <c r="V56" s="119"/>
      <c r="W56" s="35"/>
      <c r="X56" s="35"/>
      <c r="Y56" s="35"/>
      <c r="Z56" s="35"/>
      <c r="AA56" s="36" t="s">
        <v>225</v>
      </c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86" t="s">
        <v>226</v>
      </c>
      <c r="AM56" s="6" t="str">
        <f>INDEX(AO55:AP57,MATCH(AM55,AO55:AO57,0),2)</f>
        <v>Atmosphere is likely to be thermokinetic stable</v>
      </c>
      <c r="AN56" s="6"/>
      <c r="AO56" s="6">
        <v>2</v>
      </c>
      <c r="AP56" s="6" t="s">
        <v>227</v>
      </c>
      <c r="AQ56" s="6"/>
      <c r="AR56" s="6"/>
      <c r="AS56" s="7"/>
      <c r="AT56" s="6"/>
      <c r="AU56" s="12"/>
      <c r="AV56" s="12"/>
    </row>
    <row r="57" spans="1:48" hidden="1">
      <c r="A57" s="108"/>
      <c r="B57" s="126" t="s">
        <v>74</v>
      </c>
      <c r="C57" s="127"/>
      <c r="D57" s="127"/>
      <c r="E57" s="127"/>
      <c r="F57" s="127"/>
      <c r="G57" s="75" t="s">
        <v>228</v>
      </c>
      <c r="H57" s="32">
        <f>R57*H51</f>
        <v>4.7828444528887516E+20</v>
      </c>
      <c r="I57" s="32" t="s">
        <v>206</v>
      </c>
      <c r="J57" s="87">
        <f>H57/I42</f>
        <v>8.0085269438660717E-5</v>
      </c>
      <c r="K57" s="32" t="s">
        <v>229</v>
      </c>
      <c r="L57" s="32"/>
      <c r="M57" s="32" t="s">
        <v>230</v>
      </c>
      <c r="N57" s="125">
        <f>R37/2*1000</f>
        <v>700000000</v>
      </c>
      <c r="O57" s="32" t="s">
        <v>231</v>
      </c>
      <c r="P57" s="32"/>
      <c r="Q57" s="32"/>
      <c r="R57" s="122">
        <f>T39/(R51*T40)</f>
        <v>64.741101041774584</v>
      </c>
      <c r="S57" s="35"/>
      <c r="T57" s="128"/>
      <c r="U57" s="118"/>
      <c r="V57" s="129"/>
      <c r="W57" s="35"/>
      <c r="X57" s="35"/>
      <c r="Y57" s="35"/>
      <c r="Z57" s="35"/>
      <c r="AA57" s="36" t="s">
        <v>232</v>
      </c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>
        <v>3</v>
      </c>
      <c r="AP57" s="94" t="s">
        <v>233</v>
      </c>
      <c r="AQ57" s="6"/>
      <c r="AR57" s="6"/>
      <c r="AS57" s="7"/>
      <c r="AT57" s="6"/>
      <c r="AU57" s="12"/>
      <c r="AV57" s="12"/>
    </row>
    <row r="58" spans="1:48" hidden="1">
      <c r="A58" s="108"/>
      <c r="B58" s="38" t="s">
        <v>77</v>
      </c>
      <c r="C58" s="49"/>
      <c r="D58" s="49"/>
      <c r="E58" s="49"/>
      <c r="F58" s="49"/>
      <c r="G58" s="32"/>
      <c r="H58" s="32"/>
      <c r="I58" s="32"/>
      <c r="J58" s="92">
        <f>H57/K42</f>
        <v>92.870766075509735</v>
      </c>
      <c r="K58" s="32" t="s">
        <v>234</v>
      </c>
      <c r="L58" s="32"/>
      <c r="M58" s="32" t="s">
        <v>235</v>
      </c>
      <c r="N58" s="32">
        <f>X35*1000</f>
        <v>108000000000</v>
      </c>
      <c r="O58" s="32" t="s">
        <v>231</v>
      </c>
      <c r="P58" s="32"/>
      <c r="Q58" s="32"/>
      <c r="R58" s="130">
        <f>(G42*T40)/(R50*T42)</f>
        <v>16.275232966412656</v>
      </c>
      <c r="S58" s="131"/>
      <c r="T58" s="49"/>
      <c r="U58" s="118"/>
      <c r="V58" s="129"/>
      <c r="W58" s="35"/>
      <c r="X58" s="35"/>
      <c r="Y58" s="35"/>
      <c r="Z58" s="35"/>
      <c r="AA58" s="36" t="s">
        <v>236</v>
      </c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7"/>
      <c r="AT58" s="6"/>
      <c r="AU58" s="12"/>
      <c r="AV58" s="12"/>
    </row>
    <row r="59" spans="1:48" hidden="1">
      <c r="A59" s="108"/>
      <c r="B59" s="38" t="s">
        <v>80</v>
      </c>
      <c r="C59" s="49"/>
      <c r="D59" s="49"/>
      <c r="E59" s="49"/>
      <c r="F59" s="49"/>
      <c r="G59" s="132">
        <v>9.9999999999999995E-7</v>
      </c>
      <c r="H59" s="32"/>
      <c r="I59" s="32"/>
      <c r="J59" s="32"/>
      <c r="K59" s="32"/>
      <c r="L59" s="32"/>
      <c r="M59" s="32" t="s">
        <v>237</v>
      </c>
      <c r="N59" s="32">
        <f>R41</f>
        <v>0.9</v>
      </c>
      <c r="O59" s="32"/>
      <c r="P59" s="32"/>
      <c r="Q59" s="32"/>
      <c r="R59" s="130">
        <f>LN(G59)*-1*R58</f>
        <v>224.85065288080224</v>
      </c>
      <c r="S59" s="131"/>
      <c r="T59" s="35"/>
      <c r="U59" s="35"/>
      <c r="V59" s="35"/>
      <c r="W59" s="35"/>
      <c r="X59" s="35"/>
      <c r="Y59" s="35"/>
      <c r="Z59" s="35"/>
      <c r="AA59" s="36" t="s">
        <v>236</v>
      </c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7"/>
      <c r="AT59" s="6"/>
      <c r="AU59" s="12"/>
      <c r="AV59" s="12"/>
    </row>
    <row r="60" spans="1:48" hidden="1">
      <c r="A60" s="108"/>
      <c r="B60" s="38" t="s">
        <v>83</v>
      </c>
      <c r="C60" s="49"/>
      <c r="D60" s="49"/>
      <c r="E60" s="49"/>
      <c r="F60" s="49"/>
      <c r="G60" s="32"/>
      <c r="H60" s="32"/>
      <c r="I60" s="32"/>
      <c r="J60" s="32"/>
      <c r="K60" s="32"/>
      <c r="L60" s="32"/>
      <c r="M60" s="32" t="s">
        <v>238</v>
      </c>
      <c r="N60" s="32">
        <f>(N56*(((N57/(2*N58)))^(1/2)))*((1-N59)^(1/4))</f>
        <v>185.03333769613388</v>
      </c>
      <c r="O60" s="32" t="s">
        <v>132</v>
      </c>
      <c r="P60" s="32"/>
      <c r="Q60" s="32"/>
      <c r="R60" s="128">
        <f>J57</f>
        <v>8.0085269438660717E-5</v>
      </c>
      <c r="S60" s="128"/>
      <c r="T60" s="35"/>
      <c r="U60" s="35"/>
      <c r="V60" s="35"/>
      <c r="W60" s="35"/>
      <c r="X60" s="35"/>
      <c r="Y60" s="35"/>
      <c r="Z60" s="35"/>
      <c r="AA60" s="133" t="s">
        <v>239</v>
      </c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20"/>
      <c r="AQ60" s="6"/>
      <c r="AR60" s="6"/>
      <c r="AS60" s="7"/>
      <c r="AT60" s="6"/>
      <c r="AU60" s="12"/>
      <c r="AV60" s="12"/>
    </row>
    <row r="61" spans="1:48" hidden="1">
      <c r="A61" s="108"/>
      <c r="B61" s="38" t="s">
        <v>86</v>
      </c>
      <c r="C61" s="49"/>
      <c r="D61" s="49"/>
      <c r="E61" s="49"/>
      <c r="F61" s="49"/>
      <c r="G61" s="32"/>
      <c r="H61" s="32"/>
      <c r="I61" s="32"/>
      <c r="J61" s="32"/>
      <c r="K61" s="32"/>
      <c r="L61" s="32"/>
      <c r="M61" s="32"/>
      <c r="N61" s="32">
        <f>N60-272.15</f>
        <v>-87.116662303866093</v>
      </c>
      <c r="O61" s="32" t="s">
        <v>240</v>
      </c>
      <c r="P61" s="32"/>
      <c r="Q61" s="32"/>
      <c r="R61" s="34">
        <f>J58</f>
        <v>92.870766075509735</v>
      </c>
      <c r="S61" s="34"/>
      <c r="T61" s="35"/>
      <c r="U61" s="35"/>
      <c r="V61" s="35"/>
      <c r="W61" s="35"/>
      <c r="X61" s="35"/>
      <c r="Y61" s="35"/>
      <c r="Z61" s="35"/>
      <c r="AA61" s="133" t="s">
        <v>241</v>
      </c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7"/>
      <c r="AT61" s="6"/>
      <c r="AU61" s="12"/>
      <c r="AV61" s="12"/>
    </row>
    <row r="62" spans="1:48" hidden="1">
      <c r="A62" s="108"/>
      <c r="B62" s="43" t="s">
        <v>89</v>
      </c>
      <c r="C62" s="49"/>
      <c r="D62" s="49"/>
      <c r="E62" s="49"/>
      <c r="F62" s="49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4">
        <f>K52</f>
        <v>10300.065630858864</v>
      </c>
      <c r="S62" s="34"/>
      <c r="T62" s="35"/>
      <c r="U62" s="35"/>
      <c r="V62" s="35"/>
      <c r="W62" s="35"/>
      <c r="X62" s="35"/>
      <c r="Y62" s="35"/>
      <c r="Z62" s="35"/>
      <c r="AA62" s="133" t="s">
        <v>198</v>
      </c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7"/>
      <c r="AT62" s="6"/>
      <c r="AU62" s="12"/>
      <c r="AV62" s="12"/>
    </row>
    <row r="63" spans="1:48" hidden="1">
      <c r="A63" s="108"/>
      <c r="B63" s="134" t="s">
        <v>242</v>
      </c>
      <c r="C63" s="9"/>
      <c r="D63" s="9"/>
      <c r="E63" s="9"/>
      <c r="F63" s="9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9"/>
      <c r="S63" s="9"/>
      <c r="T63" s="9"/>
      <c r="U63" s="9"/>
      <c r="V63" s="9"/>
      <c r="W63" s="9"/>
      <c r="X63" s="9"/>
      <c r="Y63" s="9"/>
      <c r="Z63" s="9"/>
      <c r="AA63" s="10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7"/>
      <c r="AT63" s="6"/>
      <c r="AU63" s="12"/>
      <c r="AV63" s="12"/>
    </row>
    <row r="64" spans="1:48" hidden="1">
      <c r="A64" s="108"/>
      <c r="B64" s="43" t="s">
        <v>243</v>
      </c>
      <c r="C64" s="35" t="str">
        <f>IF(AD99=5,"Yes","No")</f>
        <v>No</v>
      </c>
      <c r="D64" s="35"/>
      <c r="E64" s="35"/>
      <c r="F64" s="35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5"/>
      <c r="S64" s="35"/>
      <c r="T64" s="35"/>
      <c r="U64" s="35"/>
      <c r="V64" s="35"/>
      <c r="W64" s="35"/>
      <c r="X64" s="35"/>
      <c r="Y64" s="35"/>
      <c r="Z64" s="35"/>
      <c r="AA64" s="3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7"/>
      <c r="AT64" s="6"/>
      <c r="AU64" s="12"/>
      <c r="AV64" s="12"/>
    </row>
    <row r="65" spans="1:48" hidden="1">
      <c r="A65" s="108"/>
      <c r="B65" s="43" t="s">
        <v>244</v>
      </c>
      <c r="C65" s="35"/>
      <c r="D65" s="35"/>
      <c r="E65" s="35"/>
      <c r="F65" s="35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5"/>
      <c r="S65" s="35"/>
      <c r="T65" s="35"/>
      <c r="U65" s="35"/>
      <c r="V65" s="35"/>
      <c r="W65" s="35"/>
      <c r="X65" s="35"/>
      <c r="Y65" s="35"/>
      <c r="Z65" s="35"/>
      <c r="AA65" s="3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7"/>
      <c r="AT65" s="6"/>
      <c r="AU65" s="12"/>
      <c r="AV65" s="12"/>
    </row>
    <row r="66" spans="1:48" hidden="1">
      <c r="A66" s="108"/>
      <c r="B66" s="43"/>
      <c r="C66" s="135" t="str">
        <f>AE94</f>
        <v>This Atmosphere might contain elements that are unhealthy!</v>
      </c>
      <c r="D66" s="35"/>
      <c r="E66" s="35"/>
      <c r="F66" s="35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5"/>
      <c r="S66" s="35"/>
      <c r="T66" s="35"/>
      <c r="U66" s="35"/>
      <c r="V66" s="35"/>
      <c r="W66" s="35"/>
      <c r="X66" s="35"/>
      <c r="Y66" s="35"/>
      <c r="Z66" s="35"/>
      <c r="AA66" s="3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7"/>
      <c r="AT66" s="6"/>
      <c r="AU66" s="12"/>
      <c r="AV66" s="12"/>
    </row>
    <row r="67" spans="1:48" hidden="1">
      <c r="A67" s="108"/>
      <c r="B67" s="43"/>
      <c r="C67" s="135" t="str">
        <f>AE95</f>
        <v>This atmosphere contains hallucinogenic gases that are deadly</v>
      </c>
      <c r="D67" s="35"/>
      <c r="E67" s="35"/>
      <c r="F67" s="35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5"/>
      <c r="S67" s="35"/>
      <c r="T67" s="122"/>
      <c r="U67" s="35"/>
      <c r="V67" s="35"/>
      <c r="W67" s="35"/>
      <c r="X67" s="35"/>
      <c r="Y67" s="35"/>
      <c r="Z67" s="35"/>
      <c r="AA67" s="3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7"/>
      <c r="AT67" s="6"/>
      <c r="AU67" s="12"/>
      <c r="AV67" s="12"/>
    </row>
    <row r="68" spans="1:48" hidden="1">
      <c r="A68" s="108"/>
      <c r="B68" s="43"/>
      <c r="C68" s="135" t="str">
        <f>AE96</f>
        <v>Insufficient Oxygen!</v>
      </c>
      <c r="D68" s="35"/>
      <c r="E68" s="35"/>
      <c r="F68" s="35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5"/>
      <c r="S68" s="35"/>
      <c r="T68" s="122"/>
      <c r="U68" s="35"/>
      <c r="V68" s="35"/>
      <c r="W68" s="35"/>
      <c r="X68" s="35"/>
      <c r="Y68" s="35"/>
      <c r="Z68" s="35"/>
      <c r="AA68" s="3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7"/>
      <c r="AT68" s="6"/>
      <c r="AU68" s="12"/>
      <c r="AV68" s="12"/>
    </row>
    <row r="69" spans="1:48" hidden="1">
      <c r="A69" s="108"/>
      <c r="B69" s="43"/>
      <c r="C69" s="135" t="str">
        <f>AE98</f>
        <v>Too hot</v>
      </c>
      <c r="D69" s="35"/>
      <c r="E69" s="35"/>
      <c r="F69" s="35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5"/>
      <c r="S69" s="35"/>
      <c r="T69" s="35"/>
      <c r="U69" s="35"/>
      <c r="V69" s="35"/>
      <c r="W69" s="35"/>
      <c r="X69" s="35"/>
      <c r="Y69" s="35"/>
      <c r="Z69" s="35"/>
      <c r="AA69" s="3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7"/>
      <c r="AT69" s="6"/>
      <c r="AU69" s="12"/>
      <c r="AV69" s="12"/>
    </row>
    <row r="70" spans="1:48" hidden="1">
      <c r="A70" s="108"/>
      <c r="B70" s="43"/>
      <c r="C70" s="135" t="str">
        <f>AE97</f>
        <v>Risk of heavier elements depriving lover atmospheric elements of oxygen</v>
      </c>
      <c r="D70" s="35"/>
      <c r="E70" s="35"/>
      <c r="F70" s="35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5"/>
      <c r="S70" s="35"/>
      <c r="T70" s="35"/>
      <c r="U70" s="35"/>
      <c r="V70" s="35"/>
      <c r="W70" s="35"/>
      <c r="X70" s="35"/>
      <c r="Y70" s="35"/>
      <c r="Z70" s="35"/>
      <c r="AA70" s="3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7"/>
      <c r="AT70" s="6"/>
      <c r="AU70" s="12"/>
      <c r="AV70" s="12"/>
    </row>
    <row r="71" spans="1:48" ht="15.75" hidden="1" thickBot="1">
      <c r="A71" s="108"/>
      <c r="B71" s="136"/>
      <c r="C71" s="137"/>
      <c r="D71" s="66"/>
      <c r="E71" s="66"/>
      <c r="F71" s="66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138"/>
      <c r="R71" s="66"/>
      <c r="S71" s="66"/>
      <c r="T71" s="66"/>
      <c r="U71" s="66"/>
      <c r="V71" s="66"/>
      <c r="W71" s="66"/>
      <c r="X71" s="66"/>
      <c r="Y71" s="66"/>
      <c r="Z71" s="66"/>
      <c r="AA71" s="67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8"/>
      <c r="AT71" s="69"/>
      <c r="AU71" s="70"/>
      <c r="AV71" s="12"/>
    </row>
    <row r="72" spans="1:48" ht="15.75" thickBot="1">
      <c r="A72" s="68"/>
      <c r="B72" s="13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70"/>
    </row>
    <row r="73" spans="1:48" ht="15.75" thickBot="1"/>
    <row r="74" spans="1:48" ht="15.75" thickBot="1">
      <c r="AC74" s="1"/>
      <c r="AD74" s="3"/>
      <c r="AE74" s="3"/>
      <c r="AF74" s="3"/>
      <c r="AG74" s="3"/>
      <c r="AH74" s="3">
        <v>1</v>
      </c>
      <c r="AI74" s="3">
        <v>2</v>
      </c>
      <c r="AJ74" s="3">
        <v>3</v>
      </c>
      <c r="AK74" s="3">
        <v>4</v>
      </c>
      <c r="AL74" s="5"/>
      <c r="AP74">
        <v>0</v>
      </c>
      <c r="AQ74" t="s">
        <v>245</v>
      </c>
    </row>
    <row r="75" spans="1:48">
      <c r="AC75" s="7"/>
      <c r="AD75" s="6" t="s">
        <v>246</v>
      </c>
      <c r="AE75" s="141" t="s">
        <v>247</v>
      </c>
      <c r="AF75" s="141"/>
      <c r="AG75" s="3"/>
      <c r="AH75" s="3" t="s">
        <v>248</v>
      </c>
      <c r="AI75" s="3" t="s">
        <v>249</v>
      </c>
      <c r="AJ75" s="3" t="s">
        <v>250</v>
      </c>
      <c r="AK75" s="3" t="s">
        <v>251</v>
      </c>
      <c r="AL75" s="12"/>
      <c r="AP75">
        <v>1</v>
      </c>
      <c r="AQ75" t="s">
        <v>252</v>
      </c>
    </row>
    <row r="76" spans="1:48">
      <c r="AC76" s="7">
        <f>IF(AD76&gt;AK76,4,IF(AD76&lt;AH76,0,IF(AD76&lt;AI76,1,IF(AD76&lt;AJ76,2,IF(AD76&lt;AK76,3,IF(AD76&lt;AH76,0))))))</f>
        <v>0</v>
      </c>
      <c r="AD76" s="20">
        <f>IF(AA15=" (gas)",S15,0)</f>
        <v>0</v>
      </c>
      <c r="AE76" s="142" t="s">
        <v>78</v>
      </c>
      <c r="AF76" s="142"/>
      <c r="AG76" s="143">
        <v>4.4999999999999998E-2</v>
      </c>
      <c r="AH76" s="6">
        <f t="shared" ref="AH76:AH84" si="24">160/AG76</f>
        <v>3555.5555555555557</v>
      </c>
      <c r="AI76" s="6">
        <f>AH76*3</f>
        <v>10666.666666666668</v>
      </c>
      <c r="AJ76" s="6">
        <f>AI76*1.5</f>
        <v>16000.000000000002</v>
      </c>
      <c r="AK76" s="6">
        <f>(AJ76/9)*10</f>
        <v>17777.777777777781</v>
      </c>
      <c r="AL76" s="12"/>
      <c r="AP76">
        <v>2</v>
      </c>
      <c r="AQ76" t="s">
        <v>253</v>
      </c>
    </row>
    <row r="77" spans="1:48">
      <c r="AC77" s="7">
        <f t="shared" ref="AC77:AC84" si="25">IF(AD77&gt;AK77,4,IF(AD77&lt;AH77,0,IF(AD77&lt;AI77,1,IF(AD77&lt;AJ77,2,IF(AD77&lt;AK77,3,IF(AD77&lt;AH77,0))))))</f>
        <v>0</v>
      </c>
      <c r="AD77" s="20">
        <f>IF(AA23=" (gas)",S23,0)</f>
        <v>0</v>
      </c>
      <c r="AE77" s="142" t="s">
        <v>98</v>
      </c>
      <c r="AF77" s="142"/>
      <c r="AG77" s="143">
        <v>0.3</v>
      </c>
      <c r="AH77" s="6">
        <f t="shared" si="24"/>
        <v>533.33333333333337</v>
      </c>
      <c r="AI77" s="6">
        <f t="shared" ref="AI77:AI84" si="26">AH77*3</f>
        <v>1600</v>
      </c>
      <c r="AJ77" s="6">
        <f t="shared" ref="AJ77:AJ84" si="27">AI77*1.5</f>
        <v>2400</v>
      </c>
      <c r="AK77" s="6">
        <f t="shared" ref="AK77:AK84" si="28">(AJ77/9)*10</f>
        <v>2666.666666666667</v>
      </c>
      <c r="AL77" s="12"/>
      <c r="AP77">
        <v>3</v>
      </c>
      <c r="AQ77" t="s">
        <v>254</v>
      </c>
    </row>
    <row r="78" spans="1:48">
      <c r="AC78" s="7">
        <f t="shared" si="25"/>
        <v>0</v>
      </c>
      <c r="AD78" s="20">
        <f>IF(AA32=" (gas)",S32,0)</f>
        <v>0</v>
      </c>
      <c r="AE78" s="142" t="s">
        <v>118</v>
      </c>
      <c r="AF78" s="142"/>
      <c r="AG78" s="143">
        <v>0.6</v>
      </c>
      <c r="AH78" s="6">
        <f t="shared" si="24"/>
        <v>266.66666666666669</v>
      </c>
      <c r="AI78" s="6">
        <f t="shared" si="26"/>
        <v>800</v>
      </c>
      <c r="AJ78" s="6">
        <f t="shared" si="27"/>
        <v>1200</v>
      </c>
      <c r="AK78" s="6">
        <f t="shared" si="28"/>
        <v>1333.3333333333335</v>
      </c>
      <c r="AL78" s="12"/>
      <c r="AP78">
        <v>4</v>
      </c>
      <c r="AQ78" t="s">
        <v>255</v>
      </c>
    </row>
    <row r="79" spans="1:48">
      <c r="AC79" s="7">
        <f t="shared" si="25"/>
        <v>0</v>
      </c>
      <c r="AD79" s="20">
        <f>IF(AA7=" (gas)",S7,0)</f>
        <v>56.968687191960569</v>
      </c>
      <c r="AE79" s="142" t="s">
        <v>54</v>
      </c>
      <c r="AF79" s="142"/>
      <c r="AG79" s="143">
        <v>1</v>
      </c>
      <c r="AH79" s="6">
        <f t="shared" si="24"/>
        <v>160</v>
      </c>
      <c r="AI79" s="6">
        <f t="shared" si="26"/>
        <v>480</v>
      </c>
      <c r="AJ79" s="6">
        <f t="shared" si="27"/>
        <v>720</v>
      </c>
      <c r="AK79" s="6">
        <f t="shared" si="28"/>
        <v>800</v>
      </c>
      <c r="AL79" s="12"/>
    </row>
    <row r="80" spans="1:48">
      <c r="AC80" s="7">
        <f t="shared" si="25"/>
        <v>0</v>
      </c>
      <c r="AD80" s="20">
        <f>IF(AA18=" (gas)",S18,0)</f>
        <v>0</v>
      </c>
      <c r="AE80" s="142" t="s">
        <v>87</v>
      </c>
      <c r="AF80" s="142"/>
      <c r="AG80" s="143">
        <v>1.7</v>
      </c>
      <c r="AH80" s="6">
        <f t="shared" si="24"/>
        <v>94.117647058823536</v>
      </c>
      <c r="AI80" s="6">
        <f t="shared" si="26"/>
        <v>282.35294117647061</v>
      </c>
      <c r="AJ80" s="6">
        <f t="shared" si="27"/>
        <v>423.52941176470591</v>
      </c>
      <c r="AK80" s="6">
        <f t="shared" si="28"/>
        <v>470.58823529411768</v>
      </c>
      <c r="AL80" s="12"/>
    </row>
    <row r="81" spans="29:43">
      <c r="AC81" s="7">
        <f t="shared" si="25"/>
        <v>0</v>
      </c>
      <c r="AD81" s="20">
        <f>IF(AA6=" (gas)",S6,0)</f>
        <v>0</v>
      </c>
      <c r="AE81" s="142" t="s">
        <v>51</v>
      </c>
      <c r="AF81" s="142"/>
      <c r="AG81" s="143">
        <v>2.2999999999999998</v>
      </c>
      <c r="AH81" s="6">
        <f t="shared" si="24"/>
        <v>69.565217391304358</v>
      </c>
      <c r="AI81" s="6">
        <f t="shared" si="26"/>
        <v>208.69565217391306</v>
      </c>
      <c r="AJ81" s="6">
        <f t="shared" si="27"/>
        <v>313.04347826086962</v>
      </c>
      <c r="AK81" s="6">
        <f t="shared" si="28"/>
        <v>347.82608695652181</v>
      </c>
      <c r="AL81" s="12"/>
      <c r="AQ81" t="s">
        <v>256</v>
      </c>
    </row>
    <row r="82" spans="29:43">
      <c r="AC82" s="7">
        <f t="shared" si="25"/>
        <v>4</v>
      </c>
      <c r="AD82" s="20">
        <f>IF(AA19=" (gas)",S19,0)</f>
        <v>1870.4221852397104</v>
      </c>
      <c r="AE82" s="142" t="s">
        <v>90</v>
      </c>
      <c r="AF82" s="142"/>
      <c r="AG82" s="143">
        <v>7.1</v>
      </c>
      <c r="AH82" s="6">
        <f t="shared" si="24"/>
        <v>22.535211267605636</v>
      </c>
      <c r="AI82" s="6">
        <f t="shared" si="26"/>
        <v>67.605633802816911</v>
      </c>
      <c r="AJ82" s="6">
        <f t="shared" si="27"/>
        <v>101.40845070422537</v>
      </c>
      <c r="AK82" s="6">
        <f t="shared" si="28"/>
        <v>112.67605633802819</v>
      </c>
      <c r="AL82" s="12"/>
      <c r="AQ82" s="51">
        <f>IF(SUM(AJ4:AJ32)&gt;=1,1,0)</f>
        <v>1</v>
      </c>
    </row>
    <row r="83" spans="29:43">
      <c r="AC83" s="7">
        <f t="shared" si="25"/>
        <v>4</v>
      </c>
      <c r="AD83" s="20">
        <f>IF(AA30=" (gas)",S30,0)</f>
        <v>2982.6537796837997</v>
      </c>
      <c r="AE83" s="142" t="s">
        <v>114</v>
      </c>
      <c r="AF83" s="142"/>
      <c r="AG83" s="143">
        <v>20</v>
      </c>
      <c r="AH83" s="6">
        <f t="shared" si="24"/>
        <v>8</v>
      </c>
      <c r="AI83" s="6">
        <f t="shared" si="26"/>
        <v>24</v>
      </c>
      <c r="AJ83" s="6">
        <f t="shared" si="27"/>
        <v>36</v>
      </c>
      <c r="AK83" s="6">
        <f t="shared" si="28"/>
        <v>40</v>
      </c>
      <c r="AL83" s="12"/>
    </row>
    <row r="84" spans="29:43">
      <c r="AC84" s="7">
        <f t="shared" si="25"/>
        <v>0</v>
      </c>
      <c r="AD84" s="20">
        <f>IF(AA20=" (gas)",S20,0)</f>
        <v>0</v>
      </c>
      <c r="AE84" s="142" t="s">
        <v>92</v>
      </c>
      <c r="AF84" s="142"/>
      <c r="AG84" s="143">
        <v>25.6</v>
      </c>
      <c r="AH84" s="6">
        <f t="shared" si="24"/>
        <v>6.25</v>
      </c>
      <c r="AI84" s="6">
        <f t="shared" si="26"/>
        <v>18.75</v>
      </c>
      <c r="AJ84" s="6">
        <f t="shared" si="27"/>
        <v>28.125</v>
      </c>
      <c r="AK84" s="6">
        <f t="shared" si="28"/>
        <v>31.25</v>
      </c>
      <c r="AL84" s="12"/>
    </row>
    <row r="85" spans="29:43">
      <c r="AC85" s="7"/>
      <c r="AD85" s="6"/>
      <c r="AE85" s="6"/>
      <c r="AF85" s="6"/>
      <c r="AG85" s="6"/>
      <c r="AH85" s="6">
        <v>1</v>
      </c>
      <c r="AI85" s="6">
        <v>2</v>
      </c>
      <c r="AJ85" s="6">
        <v>3</v>
      </c>
      <c r="AK85" s="6">
        <v>4</v>
      </c>
      <c r="AL85" s="12"/>
    </row>
    <row r="86" spans="29:43">
      <c r="AC86" s="7">
        <f>MAX(AC76:AC84)</f>
        <v>4</v>
      </c>
      <c r="AD86" s="6">
        <v>0</v>
      </c>
      <c r="AE86" s="6" t="s">
        <v>257</v>
      </c>
      <c r="AF86" s="6"/>
      <c r="AG86" s="6"/>
      <c r="AH86" s="6"/>
      <c r="AI86" s="6"/>
      <c r="AJ86" s="6"/>
      <c r="AK86" s="6"/>
      <c r="AL86" s="12"/>
    </row>
    <row r="87" spans="29:43">
      <c r="AC87" s="7"/>
      <c r="AD87" s="6">
        <v>1</v>
      </c>
      <c r="AE87" s="6" t="s">
        <v>258</v>
      </c>
      <c r="AF87" s="6"/>
      <c r="AG87" s="6"/>
      <c r="AH87" s="6" t="s">
        <v>259</v>
      </c>
      <c r="AI87" s="6"/>
      <c r="AJ87" s="6"/>
      <c r="AK87" s="6"/>
      <c r="AL87" s="12"/>
      <c r="AP87" t="s">
        <v>260</v>
      </c>
    </row>
    <row r="88" spans="29:43">
      <c r="AC88" s="7"/>
      <c r="AD88" s="6">
        <v>2</v>
      </c>
      <c r="AE88" s="6" t="s">
        <v>261</v>
      </c>
      <c r="AF88" s="6"/>
      <c r="AG88" s="6"/>
      <c r="AH88" s="6" t="str">
        <f>INDEX(AD86:AE90,MATCH(AC86,AD86:AD90,0),2)</f>
        <v>are deadly</v>
      </c>
      <c r="AI88" s="6"/>
      <c r="AJ88" s="6"/>
      <c r="AK88" s="6"/>
      <c r="AL88" s="12"/>
      <c r="AP88" t="str">
        <f>IF(S18&gt;18,"Oxygenlevel ok",IF(S18&gt;13,"Oxygenlevel low","Insufficient Oxygen!"))</f>
        <v>Insufficient Oxygen!</v>
      </c>
    </row>
    <row r="89" spans="29:43">
      <c r="AC89" s="7"/>
      <c r="AD89" s="6">
        <v>3</v>
      </c>
      <c r="AE89" s="6" t="s">
        <v>262</v>
      </c>
      <c r="AF89" s="6"/>
      <c r="AG89" s="6"/>
      <c r="AH89" s="6"/>
      <c r="AI89" s="6"/>
      <c r="AJ89" s="6"/>
      <c r="AK89" s="6"/>
      <c r="AL89" s="12"/>
    </row>
    <row r="90" spans="29:43">
      <c r="AC90" s="7"/>
      <c r="AD90" s="6">
        <v>4</v>
      </c>
      <c r="AE90" s="6" t="s">
        <v>263</v>
      </c>
      <c r="AF90" s="6"/>
      <c r="AG90" s="6"/>
      <c r="AH90" s="6"/>
      <c r="AI90" s="6"/>
      <c r="AJ90" s="6"/>
      <c r="AK90" s="6"/>
      <c r="AL90" s="12"/>
    </row>
    <row r="91" spans="29:43" ht="15.75" thickBot="1">
      <c r="AC91" s="68"/>
      <c r="AD91" s="69"/>
      <c r="AE91" s="69"/>
      <c r="AF91" s="69"/>
      <c r="AG91" s="69"/>
      <c r="AH91" s="69"/>
      <c r="AI91" s="69"/>
      <c r="AJ91" s="69"/>
      <c r="AK91" s="69"/>
      <c r="AL91" s="70"/>
      <c r="AP91" t="s">
        <v>264</v>
      </c>
    </row>
    <row r="92" spans="29:43">
      <c r="AP92" t="str">
        <f>IF(R40&gt;60,"Too hot",IF(R40&lt;-40,"Too Cold","Temperature ok"))</f>
        <v>Too hot</v>
      </c>
    </row>
    <row r="93" spans="29:43">
      <c r="AD93" t="s">
        <v>265</v>
      </c>
    </row>
    <row r="94" spans="29:43">
      <c r="AD94">
        <f>IF(AF34=0,1,0)</f>
        <v>0</v>
      </c>
      <c r="AE94" t="str">
        <f>IF(AF34&lt;1,"This atmosphere has no known toxic elements","This Atmosphere might contain elements that are "&amp;INDEX(AP74:AQ78,MATCH(AF34,AP74:AP78,0),2)&amp;"!")</f>
        <v>This Atmosphere might contain elements that are unhealthy!</v>
      </c>
    </row>
    <row r="95" spans="29:43">
      <c r="AD95">
        <f>IF(AC86=0,1,0)</f>
        <v>0</v>
      </c>
      <c r="AE95" t="str">
        <f>IF(AC86=0,"This atmosphere contains no hallucinogenic gases","This atmosphere contains hallucinogenic gases that "&amp;AH88)</f>
        <v>This atmosphere contains hallucinogenic gases that are deadly</v>
      </c>
    </row>
    <row r="96" spans="29:43">
      <c r="AD96">
        <f>IF(S18&gt;18,1,0)</f>
        <v>0</v>
      </c>
      <c r="AE96" t="str">
        <f>AP88</f>
        <v>Insufficient Oxygen!</v>
      </c>
    </row>
    <row r="97" spans="30:33">
      <c r="AD97">
        <f>IF(AQ82=0,1,0)</f>
        <v>0</v>
      </c>
      <c r="AE97" t="str">
        <f>IF(AQ82=0,"-","Risk of heavier elements depriving lover atmospheric elements of oxygen")</f>
        <v>Risk of heavier elements depriving lover atmospheric elements of oxygen</v>
      </c>
    </row>
    <row r="98" spans="30:33">
      <c r="AD98">
        <f>IF(AP92="Temperature ok",1,0)</f>
        <v>0</v>
      </c>
      <c r="AE98" t="str">
        <f>AP92</f>
        <v>Too hot</v>
      </c>
    </row>
    <row r="99" spans="30:33">
      <c r="AD99">
        <f>SUM(AD94:AD98)</f>
        <v>0</v>
      </c>
    </row>
    <row r="102" spans="30:33">
      <c r="AE102" s="6"/>
      <c r="AF102" s="6"/>
      <c r="AG102" s="6"/>
    </row>
    <row r="103" spans="30:33">
      <c r="AE103" s="6" t="s">
        <v>266</v>
      </c>
      <c r="AF103" s="6"/>
      <c r="AG103" s="6" t="s">
        <v>267</v>
      </c>
    </row>
    <row r="104" spans="30:33">
      <c r="AE104" s="6">
        <v>23</v>
      </c>
      <c r="AF104" s="6">
        <v>56</v>
      </c>
      <c r="AG104" s="6">
        <v>4</v>
      </c>
    </row>
    <row r="105" spans="30:33">
      <c r="AE105" s="6" t="s">
        <v>173</v>
      </c>
      <c r="AF105" s="6">
        <f>AE104/24+AF104/(24*60)+AG104/(24*60*60)</f>
        <v>0.9972685185185185</v>
      </c>
      <c r="AG105" s="6"/>
    </row>
    <row r="106" spans="30:33">
      <c r="AE106" s="6"/>
      <c r="AF106" s="6"/>
      <c r="AG106" s="6"/>
    </row>
  </sheetData>
  <sheetProtection sheet="1" objects="1" scenarios="1"/>
  <mergeCells count="10">
    <mergeCell ref="B47:F47"/>
    <mergeCell ref="B50:F50"/>
    <mergeCell ref="B51:F51"/>
    <mergeCell ref="B57:F57"/>
    <mergeCell ref="AS27:AU27"/>
    <mergeCell ref="AS28:AU28"/>
    <mergeCell ref="AS29:AU29"/>
    <mergeCell ref="AS30:AU30"/>
    <mergeCell ref="AS31:AU31"/>
    <mergeCell ref="AS32:AU32"/>
  </mergeCells>
  <dataValidations count="1">
    <dataValidation type="list" allowBlank="1" showInputMessage="1" showErrorMessage="1" sqref="AA35">
      <formula1>"Km,AU"</formula1>
    </dataValidation>
  </dataValidations>
  <hyperlinks>
    <hyperlink ref="AE84" r:id="rId1" tooltip="Xenon" display="https://en.wikipedia.org/wiki/Xenon"/>
    <hyperlink ref="AE83" r:id="rId2" tooltip="Carbon dioxide" display="https://en.wikipedia.org/wiki/Carbon_dioxide"/>
    <hyperlink ref="AE82" r:id="rId3" tooltip="Krypton" display="https://en.wikipedia.org/wiki/Krypton"/>
    <hyperlink ref="AE81" r:id="rId4" tooltip="Argon" display="https://en.wikipedia.org/wiki/Argon"/>
    <hyperlink ref="AE80" r:id="rId5" tooltip="Oxygen" display="https://en.wikipedia.org/wiki/Oxygen"/>
    <hyperlink ref="AE79" r:id="rId6" tooltip="Nitrogen" display="https://en.wikipedia.org/wiki/Nitrogen"/>
    <hyperlink ref="AE78" r:id="rId7" tooltip="Hydrogen" display="https://en.wikipedia.org/wiki/Hydrogen"/>
    <hyperlink ref="AE77" r:id="rId8" tooltip="Neon" display="https://en.wikipedia.org/wiki/Neon"/>
    <hyperlink ref="AE76" r:id="rId9" tooltip="Helium" display="https://en.wikipedia.org/wiki/Helium"/>
  </hyperlinks>
  <pageMargins left="0.7" right="0.7" top="0.75" bottom="0.75" header="0.3" footer="0.3"/>
  <pageSetup paperSize="9" orientation="portrait" horizontalDpi="4294967293" verticalDpi="0" r:id="rId10"/>
  <legacy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Atmosphere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LKWIN7</dc:creator>
  <cp:lastModifiedBy>LKWIN7</cp:lastModifiedBy>
  <dcterms:created xsi:type="dcterms:W3CDTF">2016-02-07T20:34:58Z</dcterms:created>
  <dcterms:modified xsi:type="dcterms:W3CDTF">2016-02-07T20:37:13Z</dcterms:modified>
</cp:coreProperties>
</file>